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<sst xmlns="http://schemas.openxmlformats.org/spreadsheetml/2006/main" count="638" uniqueCount="277">
  <si>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</si>
  <si>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</si>
  <si>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</si>
  <si>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</si>
  <si>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</si>
  <si>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</si>
  <si>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</si>
  <si>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</si>
  <si>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</si>
  <si>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</si>
  <si>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</si>
  <si>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</si>
  <si>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</si>
  <si>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</si>
  <si>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</si>
  <si>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</si>
  <si>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</si>
  <si>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</si>
  <si>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</si>
  <si>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</si>
  <si>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</si>
  <si>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</si>
  <si>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</si>
  <si>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</si>
  <si>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</si>
  <si>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</si>
  <si>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</si>
  <si>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</si>
  <si>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</si>
  <si>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</si>
  <si>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</si>
  <si>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</si>
  <si>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</si>
  <si>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</si>
  <si>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</si>
  <si>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</si>
  <si>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</si>
  <si>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</si>
  <si>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</si>
  <si>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</si>
  <si>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</si>
  <si>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</si>
  <si>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</si>
  <si>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</si>
  <si>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</si>
  <si>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</si>
  <si>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</si>
  <si>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</si>
  <si>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</si>
  <si>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Poznámka:</t>
  </si>
  <si>
    <t>Objekt</t>
  </si>
  <si>
    <t>Kód</t>
  </si>
  <si>
    <t>722</t>
  </si>
  <si>
    <t>722181215RT5</t>
  </si>
  <si>
    <t>722181215RT6</t>
  </si>
  <si>
    <t>722181215RT7</t>
  </si>
  <si>
    <t>722181215RT9</t>
  </si>
  <si>
    <t>722181215RU2</t>
  </si>
  <si>
    <t>731</t>
  </si>
  <si>
    <t>731341130R00</t>
  </si>
  <si>
    <t>7312491 R-01</t>
  </si>
  <si>
    <t>733</t>
  </si>
  <si>
    <t>733163102R00</t>
  </si>
  <si>
    <t>733163103R00</t>
  </si>
  <si>
    <t>733163104R00</t>
  </si>
  <si>
    <t>733163105R00</t>
  </si>
  <si>
    <t>733163106R00</t>
  </si>
  <si>
    <t>733190106R00</t>
  </si>
  <si>
    <t>733161906R00</t>
  </si>
  <si>
    <t>734</t>
  </si>
  <si>
    <t>734263221R00</t>
  </si>
  <si>
    <t>734235123R00</t>
  </si>
  <si>
    <t>734235124R00</t>
  </si>
  <si>
    <t>734209116R00</t>
  </si>
  <si>
    <t>5511356971</t>
  </si>
  <si>
    <t>5511361555</t>
  </si>
  <si>
    <t>405417016</t>
  </si>
  <si>
    <t>735</t>
  </si>
  <si>
    <t>735157160R00</t>
  </si>
  <si>
    <t>735157260R00</t>
  </si>
  <si>
    <t>735157561R00</t>
  </si>
  <si>
    <t>735157667R00</t>
  </si>
  <si>
    <t>735157662R00</t>
  </si>
  <si>
    <t>735157663R00</t>
  </si>
  <si>
    <t>735157664R00</t>
  </si>
  <si>
    <t>735157666R00</t>
  </si>
  <si>
    <t>735157766R00</t>
  </si>
  <si>
    <t>735157767R00</t>
  </si>
  <si>
    <t>735157763R00</t>
  </si>
  <si>
    <t>735158210R00</t>
  </si>
  <si>
    <t>735158220R00</t>
  </si>
  <si>
    <t>735158230R00</t>
  </si>
  <si>
    <t>735159110R00</t>
  </si>
  <si>
    <t>735159210R00</t>
  </si>
  <si>
    <t>735159310R00</t>
  </si>
  <si>
    <t>735129140R00</t>
  </si>
  <si>
    <t>90</t>
  </si>
  <si>
    <t>904      R02</t>
  </si>
  <si>
    <t>909      R00</t>
  </si>
  <si>
    <t>M</t>
  </si>
  <si>
    <t>141      R00</t>
  </si>
  <si>
    <t>REKONSTRUKCE HASIČÁRNY</t>
  </si>
  <si>
    <t>ÚT</t>
  </si>
  <si>
    <t>ŠLUKNOV</t>
  </si>
  <si>
    <t>Zkrácený popis</t>
  </si>
  <si>
    <t>Rozměry</t>
  </si>
  <si>
    <t>Tep.izolace potrubí návleky MIRELON PRO</t>
  </si>
  <si>
    <t>Izolace návleková  MIRELON PRO tl. stěny 25 mm</t>
  </si>
  <si>
    <t>0,7   </t>
  </si>
  <si>
    <t>36,8   </t>
  </si>
  <si>
    <t>26,6   </t>
  </si>
  <si>
    <t>Kotelny</t>
  </si>
  <si>
    <t>Hadice napouštěcí pryžové D 16/23</t>
  </si>
  <si>
    <t>15   </t>
  </si>
  <si>
    <t>Vyčištění stávajícího  kotle ocel.teplov.,kapalina/plyn do 29 kW</t>
  </si>
  <si>
    <t>1   vyčištění a úprava stávajícího kotle s hořákem a TÚV</t>
  </si>
  <si>
    <t>Rozvod potrubí-včetně fitinek-SUPERSAN</t>
  </si>
  <si>
    <t>Potrubí z měděných trubek vytápění D 15 x 1,0 mm</t>
  </si>
  <si>
    <t>Potrubí z měděných trubek vytápění D 18 x 1,0 mm</t>
  </si>
  <si>
    <t>Potrubí z měděných trubek vytápění D 22 x 1,0 mm</t>
  </si>
  <si>
    <t>Potrubí z měděných trubek vytápění D 28 x 1,5 mm</t>
  </si>
  <si>
    <t>Potrubí z měděných trubek vytápění D 35 x 1,5 mm</t>
  </si>
  <si>
    <t>Tlaková zkouška potrubí  DN 32</t>
  </si>
  <si>
    <t>Propojení měděného potrubí vytápění na stávající kotel</t>
  </si>
  <si>
    <t>1   </t>
  </si>
  <si>
    <t>Armatury</t>
  </si>
  <si>
    <t>Šroubení regulační dvoutrub. přímé, IVAR.DD 345 EK</t>
  </si>
  <si>
    <t>Kohout kulový,2xvnitřní záv. GIACOMINI R250D DN 25</t>
  </si>
  <si>
    <t>2   </t>
  </si>
  <si>
    <t>Kohout kulový,2xvnitřní záv. GIACOMINI R250D DN 32</t>
  </si>
  <si>
    <t>Montáž armatur závitových,</t>
  </si>
  <si>
    <t>3   </t>
  </si>
  <si>
    <t>Kohout kulový vypouštěcí R608 1/2" Giacomini</t>
  </si>
  <si>
    <t>Filtr s vnitřními závity R74A 5/4" Giacomini</t>
  </si>
  <si>
    <t>Elektronický prostorový regulátor-programovatelný</t>
  </si>
  <si>
    <t>1   s montáží</t>
  </si>
  <si>
    <t>Otopná tělesa</t>
  </si>
  <si>
    <t>Otopná těl.panel.Radik Ventil Kompakt 10  600/ 400</t>
  </si>
  <si>
    <t>Otopná těl.panel.Radik Ventil Kompakt 11  600/ 400</t>
  </si>
  <si>
    <t>Otopná těl.panel.Radik Ventil Kompakt 21  600/ 500</t>
  </si>
  <si>
    <t>2+1   </t>
  </si>
  <si>
    <t>Otopná těl.panel.Radik Ventil Kompakt 22  600/1100</t>
  </si>
  <si>
    <t>Otopná těl.panel.Radik Ventil Kompakt 22  600/ 600</t>
  </si>
  <si>
    <t>Otopná těl.panel.Radik Ventil Kompakt 22  600/ 700</t>
  </si>
  <si>
    <t>1+2   </t>
  </si>
  <si>
    <t>Otopná těl.panel.Radik Ventil Kompakt 22  600/ 800</t>
  </si>
  <si>
    <t>Otopná těl.panel.Radik Ventil Kompakt 22  600/1000</t>
  </si>
  <si>
    <t>4   </t>
  </si>
  <si>
    <t>Otopná těl.panel.Radik Ventil Kompakt 33  600/1000</t>
  </si>
  <si>
    <t>Otopná těl.panel.Radik Ventil Kompakt 33  600/1100</t>
  </si>
  <si>
    <t>Otopná těl.panel.Radik Ventil Kompakt 33  600/ 700</t>
  </si>
  <si>
    <t>Tlakové zkoušky panelových těles 1řadých</t>
  </si>
  <si>
    <t>Tlakové zkoušky panelových těles 2řadých</t>
  </si>
  <si>
    <t>Tlakové zkoušky panelových těles 3řadých</t>
  </si>
  <si>
    <t>6   </t>
  </si>
  <si>
    <t>Montáž panelových těles 1řadých do délky 1500 mm</t>
  </si>
  <si>
    <t>Montáž panelových těles 2řadých do délky 1140 mm</t>
  </si>
  <si>
    <t>Montáž panelových těles 3řadých do délky 1140 mm</t>
  </si>
  <si>
    <t>Demontáž otopných těles ,potrubí a likvidace vybouraného materiálu</t>
  </si>
  <si>
    <t>Hodinové zúčtovací sazby (HZS)</t>
  </si>
  <si>
    <t>Hzs-zkousky v ramci montaz.praci</t>
  </si>
  <si>
    <t>24   topná zkouška a vyregulování topného systému</t>
  </si>
  <si>
    <t>Hzs-nezmeritelne stavebni prace-zednické výpomoce</t>
  </si>
  <si>
    <t>35   průrazy,rýhy,začištění</t>
  </si>
  <si>
    <t>Montážní přirážky</t>
  </si>
  <si>
    <t>Přirážka za podružný materiál</t>
  </si>
  <si>
    <t>Doba výstavby:</t>
  </si>
  <si>
    <t>Začátek výstavby:</t>
  </si>
  <si>
    <t>Konec výstavby:</t>
  </si>
  <si>
    <t>Zpracováno dne:</t>
  </si>
  <si>
    <t>MJ</t>
  </si>
  <si>
    <t>m</t>
  </si>
  <si>
    <t>soubor</t>
  </si>
  <si>
    <t>kus</t>
  </si>
  <si>
    <t>soub</t>
  </si>
  <si>
    <t>h</t>
  </si>
  <si>
    <t>Množství</t>
  </si>
  <si>
    <t>28.03.2019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</si>
  <si>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</si>
  <si>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</si>
  <si>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</si>
  <si>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</si>
  <si>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</si>
  <si>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</si>
  <si>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</si>
  <si>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</si>
  <si>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</si>
  <si>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ŠLUKNOV</t>
  </si>
  <si>
    <t>ING.MATĚJKA</t>
  </si>
  <si>
    <t>BUDE VYBRÁN</t>
  </si>
  <si>
    <t>IIČVDF</t>
  </si>
  <si>
    <t>Montáž</t>
  </si>
  <si>
    <t>Celkem</t>
  </si>
  <si>
    <t>Hmotnost (t)</t>
  </si>
  <si>
    <t>Jednot.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</si>
  <si>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</si>
  <si>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</si>
  <si>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</si>
  <si>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</si>
  <si>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</si>
  <si>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</si>
  <si>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</si>
  <si>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</si>
  <si>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</si>
  <si>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</si>
  <si>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</si>
  <si>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</si>
  <si>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722_</t>
  </si>
  <si>
    <t>731_</t>
  </si>
  <si>
    <t>733_</t>
  </si>
  <si>
    <t>734_</t>
  </si>
  <si>
    <t>735_</t>
  </si>
  <si>
    <t>90_</t>
  </si>
  <si>
    <t>M_</t>
  </si>
  <si>
    <t>72_</t>
  </si>
  <si>
    <t>73_</t>
  </si>
  <si>
    <t>9_</t>
  </si>
  <si>
    <t>_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</si>
  <si>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</si>
  <si>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</si>
  <si>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</si>
  <si>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</si>
  <si>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</si>
  <si>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</si>
  <si>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</si>
  <si>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</si>
  <si>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</si>
  <si>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</si>
  <si>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</si>
  <si>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</si>
  <si>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</si>
  <si>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</si>
  <si>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</si>
  <si>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</si>
  <si>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</si>
  <si>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</si>
  <si>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</si>
  <si>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</si>
  <si>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</si>
  <si>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</si>
  <si>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</si>
  <si>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</si>
  <si>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</si>
  <si>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</si>
  <si>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</si>
  <si>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</si>
  <si>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</si>
  <si>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</si>
  <si>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</si>
  <si>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</si>
  <si>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</si>
  <si>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</si>
  <si>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</si>
  <si>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</si>
  <si>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</si>
  <si>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</si>
  <si>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</si>
  <si>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</si>
  <si>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</si>
  <si>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</si>
  <si>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</si>
  <si>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</si>
  <si>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</si>
  <si>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</si>
  <si>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</si>
  <si>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</si>
  <si>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</si>
  <si>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</si>
  <si>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</si>
  <si>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</si>
  <si>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</si>
  <si>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</si>
  <si>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</si>
  <si>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14,3</t>
  </si>
  <si>
    <t>139,8</t>
  </si>
  <si>
    <t>139,8+14,3+0,7+36,8+26,6   </t>
  </si>
  <si>
    <t>26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</si>
</sst>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49" fontId="3" fillId="0" borderId="28" xfId="0" applyNumberFormat="1" applyFont="1" applyBorder="1" applyAlignment="1">
      <alignment horizontal="right" vertical="center"/>
    </xf>
    <xf numFmtId="49" fontId="11" fillId="34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" fontId="13" fillId="0" borderId="29" xfId="0" applyNumberFormat="1" applyFont="1" applyBorder="1" applyAlignment="1">
      <alignment horizontal="right" vertical="center"/>
    </xf>
    <xf numFmtId="49" fontId="13" fillId="0" borderId="29" xfId="0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" fontId="12" fillId="34" borderId="3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/>
    </xf>
    <xf numFmtId="49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49" fontId="13" fillId="0" borderId="46" xfId="0" applyNumberFormat="1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49" fontId="12" fillId="34" borderId="48" xfId="0" applyNumberFormat="1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49" fontId="13" fillId="0" borderId="50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49" fontId="12" fillId="0" borderId="48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9" fontId="13" fillId="0" borderId="48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49" fontId="10" fillId="0" borderId="49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 vertical="center"/>
    </xf>
    <xf numFmtId="4" fontId="5" fillId="35" borderId="0" xfId="0" applyNumberFormat="1" applyFont="1" applyFill="1" applyAlignment="1">
      <alignment horizontal="right" vertical="center"/>
    </xf>
    <xf numFmtId="4" fontId="6" fillId="35" borderId="0" xfId="0" applyNumberFormat="1" applyFont="1" applyFill="1" applyAlignment="1">
      <alignment horizontal="right" vertical="center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5"/>
  <sheetViews>
    <sheetView tabSelected="1" zoomScalePageLayoutView="0" workbookViewId="0" topLeftCell="A1">
      <pane ySplit="11" topLeftCell="A90" activePane="bottomLeft" state="frozen"/>
      <selection pane="topLeft" activeCell="A1" sqref="A1"/>
      <selection pane="bottomLeft" activeCell="D99" sqref="D9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6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2.75">
      <c r="A2" s="83" t="s">
        <v>1</v>
      </c>
      <c r="B2" s="84"/>
      <c r="C2" s="84"/>
      <c r="D2" s="85" t="s">
        <v>101</v>
      </c>
      <c r="E2" s="87" t="s">
        <v>166</v>
      </c>
      <c r="F2" s="84"/>
      <c r="G2" s="87" t="s">
        <v>6</v>
      </c>
      <c r="H2" s="88" t="s">
        <v>180</v>
      </c>
      <c r="I2" s="88" t="s">
        <v>187</v>
      </c>
      <c r="J2" s="84"/>
      <c r="K2" s="84"/>
      <c r="L2" s="84"/>
      <c r="M2" s="89"/>
      <c r="N2" s="34"/>
    </row>
    <row r="3" spans="1:14" ht="12.75">
      <c r="A3" s="80"/>
      <c r="B3" s="73"/>
      <c r="C3" s="73"/>
      <c r="D3" s="86"/>
      <c r="E3" s="73"/>
      <c r="F3" s="73"/>
      <c r="G3" s="73"/>
      <c r="H3" s="73"/>
      <c r="I3" s="73"/>
      <c r="J3" s="73"/>
      <c r="K3" s="73"/>
      <c r="L3" s="73"/>
      <c r="M3" s="78"/>
      <c r="N3" s="34"/>
    </row>
    <row r="4" spans="1:14" ht="12.75">
      <c r="A4" s="74" t="s">
        <v>2</v>
      </c>
      <c r="B4" s="73"/>
      <c r="C4" s="73"/>
      <c r="D4" s="72" t="s">
        <v>102</v>
      </c>
      <c r="E4" s="77" t="s">
        <v>167</v>
      </c>
      <c r="F4" s="73"/>
      <c r="G4" s="77" t="s">
        <v>6</v>
      </c>
      <c r="H4" s="72" t="s">
        <v>181</v>
      </c>
      <c r="I4" s="72" t="s">
        <v>188</v>
      </c>
      <c r="J4" s="73"/>
      <c r="K4" s="73"/>
      <c r="L4" s="73"/>
      <c r="M4" s="78"/>
      <c r="N4" s="34"/>
    </row>
    <row r="5" spans="1:14" ht="12.75">
      <c r="A5" s="80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8"/>
      <c r="N5" s="34"/>
    </row>
    <row r="6" spans="1:14" ht="12.75">
      <c r="A6" s="74" t="s">
        <v>3</v>
      </c>
      <c r="B6" s="73"/>
      <c r="C6" s="73"/>
      <c r="D6" s="72" t="s">
        <v>103</v>
      </c>
      <c r="E6" s="77" t="s">
        <v>168</v>
      </c>
      <c r="F6" s="73"/>
      <c r="G6" s="77" t="s">
        <v>6</v>
      </c>
      <c r="H6" s="72" t="s">
        <v>182</v>
      </c>
      <c r="I6" s="72" t="s">
        <v>189</v>
      </c>
      <c r="J6" s="73"/>
      <c r="K6" s="73"/>
      <c r="L6" s="73"/>
      <c r="M6" s="78"/>
      <c r="N6" s="34"/>
    </row>
    <row r="7" spans="1:14" ht="12.75">
      <c r="A7" s="8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8"/>
      <c r="N7" s="34"/>
    </row>
    <row r="8" spans="1:14" ht="12.75">
      <c r="A8" s="74" t="s">
        <v>4</v>
      </c>
      <c r="B8" s="73"/>
      <c r="C8" s="73"/>
      <c r="D8" s="72" t="s">
        <v>6</v>
      </c>
      <c r="E8" s="77" t="s">
        <v>169</v>
      </c>
      <c r="F8" s="73"/>
      <c r="G8" s="77" t="s">
        <v>177</v>
      </c>
      <c r="H8" s="72" t="s">
        <v>183</v>
      </c>
      <c r="I8" s="72" t="s">
        <v>190</v>
      </c>
      <c r="J8" s="73"/>
      <c r="K8" s="73"/>
      <c r="L8" s="73"/>
      <c r="M8" s="78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9"/>
      <c r="N9" s="34"/>
    </row>
    <row r="10" spans="1:14" ht="12.75">
      <c r="A10" s="1" t="s">
        <v>5</v>
      </c>
      <c r="B10" s="10" t="s">
        <v>50</v>
      </c>
      <c r="C10" s="10" t="s">
        <v>51</v>
      </c>
      <c r="D10" s="10" t="s">
        <v>104</v>
      </c>
      <c r="E10" s="10" t="s">
        <v>170</v>
      </c>
      <c r="F10" s="18" t="s">
        <v>176</v>
      </c>
      <c r="G10" s="23" t="s">
        <v>178</v>
      </c>
      <c r="H10" s="67" t="s">
        <v>184</v>
      </c>
      <c r="I10" s="68"/>
      <c r="J10" s="69"/>
      <c r="K10" s="67" t="s">
        <v>193</v>
      </c>
      <c r="L10" s="69"/>
      <c r="M10" s="30" t="s">
        <v>195</v>
      </c>
      <c r="N10" s="35"/>
    </row>
    <row r="11" spans="1:62" ht="12.75">
      <c r="A11" s="2" t="s">
        <v>6</v>
      </c>
      <c r="B11" s="11" t="s">
        <v>6</v>
      </c>
      <c r="C11" s="11" t="s">
        <v>6</v>
      </c>
      <c r="D11" s="14" t="s">
        <v>105</v>
      </c>
      <c r="E11" s="11" t="s">
        <v>6</v>
      </c>
      <c r="F11" s="11" t="s">
        <v>6</v>
      </c>
      <c r="G11" s="24" t="s">
        <v>179</v>
      </c>
      <c r="H11" s="25" t="s">
        <v>185</v>
      </c>
      <c r="I11" s="26" t="s">
        <v>191</v>
      </c>
      <c r="J11" s="27" t="s">
        <v>192</v>
      </c>
      <c r="K11" s="25" t="s">
        <v>194</v>
      </c>
      <c r="L11" s="27" t="s">
        <v>192</v>
      </c>
      <c r="M11" s="31" t="s">
        <v>196</v>
      </c>
      <c r="N11" s="35"/>
      <c r="Z11" s="29" t="s">
        <v>198</v>
      </c>
      <c r="AA11" s="29" t="s">
        <v>199</v>
      </c>
      <c r="AB11" s="29" t="s">
        <v>200</v>
      </c>
      <c r="AC11" s="29" t="s">
        <v>201</v>
      </c>
      <c r="AD11" s="29" t="s">
        <v>202</v>
      </c>
      <c r="AE11" s="29" t="s">
        <v>203</v>
      </c>
      <c r="AF11" s="29" t="s">
        <v>204</v>
      </c>
      <c r="AG11" s="29" t="s">
        <v>205</v>
      </c>
      <c r="AH11" s="29" t="s">
        <v>206</v>
      </c>
      <c r="BH11" s="29" t="s">
        <v>218</v>
      </c>
      <c r="BI11" s="29" t="s">
        <v>219</v>
      </c>
      <c r="BJ11" s="29" t="s">
        <v>220</v>
      </c>
    </row>
    <row r="12" spans="1:47" ht="12.75">
      <c r="A12" s="3"/>
      <c r="B12" s="12"/>
      <c r="C12" s="12" t="s">
        <v>52</v>
      </c>
      <c r="D12" s="12" t="s">
        <v>106</v>
      </c>
      <c r="E12" s="3" t="s">
        <v>6</v>
      </c>
      <c r="F12" s="3" t="s">
        <v>6</v>
      </c>
      <c r="G12" s="3" t="s">
        <v>6</v>
      </c>
      <c r="H12" s="38">
        <f>SUM(H13:H21)</f>
        <v>0</v>
      </c>
      <c r="I12" s="38">
        <f>SUM(I13:I21)</f>
        <v>0</v>
      </c>
      <c r="J12" s="38">
        <f>SUM(J13:J21)</f>
        <v>0</v>
      </c>
      <c r="K12" s="28"/>
      <c r="L12" s="38">
        <f>SUM(L13:L21)</f>
        <v>0.011789</v>
      </c>
      <c r="M12" s="28"/>
      <c r="AI12" s="29"/>
      <c r="AS12" s="39">
        <f>SUM(AJ13:AJ21)</f>
        <v>0</v>
      </c>
      <c r="AT12" s="39">
        <f>SUM(AK13:AK21)</f>
        <v>0</v>
      </c>
      <c r="AU12" s="39">
        <f>SUM(AL13:AL21)</f>
        <v>0</v>
      </c>
    </row>
    <row r="13" spans="1:62" ht="12.75">
      <c r="A13" s="4" t="s">
        <v>7</v>
      </c>
      <c r="B13" s="4"/>
      <c r="C13" s="4" t="s">
        <v>53</v>
      </c>
      <c r="D13" s="4" t="s">
        <v>107</v>
      </c>
      <c r="E13" s="4" t="s">
        <v>171</v>
      </c>
      <c r="F13" s="19">
        <v>139.8</v>
      </c>
      <c r="G13" s="116"/>
      <c r="H13" s="19">
        <f>F13*AO13</f>
        <v>0</v>
      </c>
      <c r="I13" s="19">
        <f>F13*AP13</f>
        <v>0</v>
      </c>
      <c r="J13" s="19">
        <f>F13*G13</f>
        <v>0</v>
      </c>
      <c r="K13" s="19">
        <v>4E-05</v>
      </c>
      <c r="L13" s="19">
        <f>F13*K13</f>
        <v>0.005592000000000001</v>
      </c>
      <c r="M13" s="32" t="s">
        <v>197</v>
      </c>
      <c r="Z13" s="36">
        <f>IF(AQ13="5",BJ13,0)</f>
        <v>0</v>
      </c>
      <c r="AB13" s="36">
        <f>IF(AQ13="1",BH13,0)</f>
        <v>0</v>
      </c>
      <c r="AC13" s="36">
        <f>IF(AQ13="1",BI13,0)</f>
        <v>0</v>
      </c>
      <c r="AD13" s="36">
        <f>IF(AQ13="7",BH13,0)</f>
        <v>0</v>
      </c>
      <c r="AE13" s="36">
        <f>IF(AQ13="7",BI13,0)</f>
        <v>0</v>
      </c>
      <c r="AF13" s="36">
        <f>IF(AQ13="2",BH13,0)</f>
        <v>0</v>
      </c>
      <c r="AG13" s="36">
        <f>IF(AQ13="2",BI13,0)</f>
        <v>0</v>
      </c>
      <c r="AH13" s="36">
        <f>IF(AQ13="0",BJ13,0)</f>
        <v>0</v>
      </c>
      <c r="AI13" s="29"/>
      <c r="AJ13" s="19">
        <f>IF(AN13=0,J13,0)</f>
        <v>0</v>
      </c>
      <c r="AK13" s="19">
        <f>IF(AN13=15,J13,0)</f>
        <v>0</v>
      </c>
      <c r="AL13" s="19">
        <f>IF(AN13=21,J13,0)</f>
        <v>0</v>
      </c>
      <c r="AN13" s="36">
        <v>21</v>
      </c>
      <c r="AO13" s="36">
        <f>G13*0.491428571428571</f>
        <v>0</v>
      </c>
      <c r="AP13" s="36">
        <f>G13*(1-0.491428571428571)</f>
        <v>0</v>
      </c>
      <c r="AQ13" s="32" t="s">
        <v>13</v>
      </c>
      <c r="AV13" s="36">
        <f>AW13+AX13</f>
        <v>0</v>
      </c>
      <c r="AW13" s="36">
        <f>F13*AO13</f>
        <v>0</v>
      </c>
      <c r="AX13" s="36">
        <f>F13*AP13</f>
        <v>0</v>
      </c>
      <c r="AY13" s="37" t="s">
        <v>207</v>
      </c>
      <c r="AZ13" s="37" t="s">
        <v>214</v>
      </c>
      <c r="BA13" s="29" t="s">
        <v>217</v>
      </c>
      <c r="BC13" s="36">
        <f>AW13+AX13</f>
        <v>0</v>
      </c>
      <c r="BD13" s="36">
        <f>G13/(100-BE13)*100</f>
        <v>0</v>
      </c>
      <c r="BE13" s="36">
        <v>0</v>
      </c>
      <c r="BF13" s="36">
        <f>L13</f>
        <v>0.005592000000000001</v>
      </c>
      <c r="BH13" s="19">
        <f>F13*AO13</f>
        <v>0</v>
      </c>
      <c r="BI13" s="19">
        <f>F13*AP13</f>
        <v>0</v>
      </c>
      <c r="BJ13" s="19">
        <f>F13*G13</f>
        <v>0</v>
      </c>
    </row>
    <row r="14" spans="4:6" ht="12.75">
      <c r="D14" s="15" t="s">
        <v>274</v>
      </c>
      <c r="F14" s="20">
        <v>139.8</v>
      </c>
    </row>
    <row r="15" spans="1:62" ht="12.75">
      <c r="A15" s="4" t="s">
        <v>8</v>
      </c>
      <c r="B15" s="4"/>
      <c r="C15" s="4" t="s">
        <v>54</v>
      </c>
      <c r="D15" s="4" t="s">
        <v>107</v>
      </c>
      <c r="E15" s="4" t="s">
        <v>171</v>
      </c>
      <c r="F15" s="19">
        <v>14.3</v>
      </c>
      <c r="G15" s="116"/>
      <c r="H15" s="19">
        <f>F15*AO15</f>
        <v>0</v>
      </c>
      <c r="I15" s="19">
        <f>F15*AP15</f>
        <v>0</v>
      </c>
      <c r="J15" s="19">
        <f>F15*G15</f>
        <v>0</v>
      </c>
      <c r="K15" s="19">
        <v>5E-05</v>
      </c>
      <c r="L15" s="19">
        <f>F15*K15</f>
        <v>0.000715</v>
      </c>
      <c r="M15" s="32" t="s">
        <v>197</v>
      </c>
      <c r="Z15" s="36">
        <f>IF(AQ15="5",BJ15,0)</f>
        <v>0</v>
      </c>
      <c r="AB15" s="36">
        <f>IF(AQ15="1",BH15,0)</f>
        <v>0</v>
      </c>
      <c r="AC15" s="36">
        <f>IF(AQ15="1",BI15,0)</f>
        <v>0</v>
      </c>
      <c r="AD15" s="36">
        <f>IF(AQ15="7",BH15,0)</f>
        <v>0</v>
      </c>
      <c r="AE15" s="36">
        <f>IF(AQ15="7",BI15,0)</f>
        <v>0</v>
      </c>
      <c r="AF15" s="36">
        <f>IF(AQ15="2",BH15,0)</f>
        <v>0</v>
      </c>
      <c r="AG15" s="36">
        <f>IF(AQ15="2",BI15,0)</f>
        <v>0</v>
      </c>
      <c r="AH15" s="36">
        <f>IF(AQ15="0",BJ15,0)</f>
        <v>0</v>
      </c>
      <c r="AI15" s="29"/>
      <c r="AJ15" s="19">
        <f>IF(AN15=0,J15,0)</f>
        <v>0</v>
      </c>
      <c r="AK15" s="19">
        <f>IF(AN15=15,J15,0)</f>
        <v>0</v>
      </c>
      <c r="AL15" s="19">
        <f>IF(AN15=21,J15,0)</f>
        <v>0</v>
      </c>
      <c r="AN15" s="36">
        <v>21</v>
      </c>
      <c r="AO15" s="36">
        <f>G15*0.506386554621849</f>
        <v>0</v>
      </c>
      <c r="AP15" s="36">
        <f>G15*(1-0.506386554621849)</f>
        <v>0</v>
      </c>
      <c r="AQ15" s="32" t="s">
        <v>13</v>
      </c>
      <c r="AV15" s="36">
        <f>AW15+AX15</f>
        <v>0</v>
      </c>
      <c r="AW15" s="36">
        <f>F15*AO15</f>
        <v>0</v>
      </c>
      <c r="AX15" s="36">
        <f>F15*AP15</f>
        <v>0</v>
      </c>
      <c r="AY15" s="37" t="s">
        <v>207</v>
      </c>
      <c r="AZ15" s="37" t="s">
        <v>214</v>
      </c>
      <c r="BA15" s="29" t="s">
        <v>217</v>
      </c>
      <c r="BC15" s="36">
        <f>AW15+AX15</f>
        <v>0</v>
      </c>
      <c r="BD15" s="36">
        <f>G15/(100-BE15)*100</f>
        <v>0</v>
      </c>
      <c r="BE15" s="36">
        <v>0</v>
      </c>
      <c r="BF15" s="36">
        <f>L15</f>
        <v>0.000715</v>
      </c>
      <c r="BH15" s="19">
        <f>F15*AO15</f>
        <v>0</v>
      </c>
      <c r="BI15" s="19">
        <f>F15*AP15</f>
        <v>0</v>
      </c>
      <c r="BJ15" s="19">
        <f>F15*G15</f>
        <v>0</v>
      </c>
    </row>
    <row r="16" spans="4:6" ht="12.75">
      <c r="D16" s="15" t="s">
        <v>273</v>
      </c>
      <c r="F16" s="20">
        <v>14.3</v>
      </c>
    </row>
    <row r="17" spans="1:62" ht="12.75">
      <c r="A17" s="4" t="s">
        <v>9</v>
      </c>
      <c r="B17" s="4"/>
      <c r="C17" s="4" t="s">
        <v>55</v>
      </c>
      <c r="D17" s="4" t="s">
        <v>107</v>
      </c>
      <c r="E17" s="4" t="s">
        <v>171</v>
      </c>
      <c r="F17" s="19">
        <v>0.7</v>
      </c>
      <c r="G17" s="116"/>
      <c r="H17" s="19">
        <f>F17*AO17</f>
        <v>0</v>
      </c>
      <c r="I17" s="19">
        <f>F17*AP17</f>
        <v>0</v>
      </c>
      <c r="J17" s="19">
        <f>F17*G17</f>
        <v>0</v>
      </c>
      <c r="K17" s="19">
        <v>6E-05</v>
      </c>
      <c r="L17" s="19">
        <f>F17*K17</f>
        <v>4.2E-05</v>
      </c>
      <c r="M17" s="32" t="s">
        <v>197</v>
      </c>
      <c r="Z17" s="36">
        <f>IF(AQ17="5",BJ17,0)</f>
        <v>0</v>
      </c>
      <c r="AB17" s="36">
        <f>IF(AQ17="1",BH17,0)</f>
        <v>0</v>
      </c>
      <c r="AC17" s="36">
        <f>IF(AQ17="1",BI17,0)</f>
        <v>0</v>
      </c>
      <c r="AD17" s="36">
        <f>IF(AQ17="7",BH17,0)</f>
        <v>0</v>
      </c>
      <c r="AE17" s="36">
        <f>IF(AQ17="7",BI17,0)</f>
        <v>0</v>
      </c>
      <c r="AF17" s="36">
        <f>IF(AQ17="2",BH17,0)</f>
        <v>0</v>
      </c>
      <c r="AG17" s="36">
        <f>IF(AQ17="2",BI17,0)</f>
        <v>0</v>
      </c>
      <c r="AH17" s="36">
        <f>IF(AQ17="0",BJ17,0)</f>
        <v>0</v>
      </c>
      <c r="AI17" s="29"/>
      <c r="AJ17" s="19">
        <f>IF(AN17=0,J17,0)</f>
        <v>0</v>
      </c>
      <c r="AK17" s="19">
        <f>IF(AN17=15,J17,0)</f>
        <v>0</v>
      </c>
      <c r="AL17" s="19">
        <f>IF(AN17=21,J17,0)</f>
        <v>0</v>
      </c>
      <c r="AN17" s="36">
        <v>21</v>
      </c>
      <c r="AO17" s="36">
        <f>G17*0.536115702479339</f>
        <v>0</v>
      </c>
      <c r="AP17" s="36">
        <f>G17*(1-0.536115702479339)</f>
        <v>0</v>
      </c>
      <c r="AQ17" s="32" t="s">
        <v>13</v>
      </c>
      <c r="AV17" s="36">
        <f>AW17+AX17</f>
        <v>0</v>
      </c>
      <c r="AW17" s="36">
        <f>F17*AO17</f>
        <v>0</v>
      </c>
      <c r="AX17" s="36">
        <f>F17*AP17</f>
        <v>0</v>
      </c>
      <c r="AY17" s="37" t="s">
        <v>207</v>
      </c>
      <c r="AZ17" s="37" t="s">
        <v>214</v>
      </c>
      <c r="BA17" s="29" t="s">
        <v>217</v>
      </c>
      <c r="BC17" s="36">
        <f>AW17+AX17</f>
        <v>0</v>
      </c>
      <c r="BD17" s="36">
        <f>G17/(100-BE17)*100</f>
        <v>0</v>
      </c>
      <c r="BE17" s="36">
        <v>0</v>
      </c>
      <c r="BF17" s="36">
        <f>L17</f>
        <v>4.2E-05</v>
      </c>
      <c r="BH17" s="19">
        <f>F17*AO17</f>
        <v>0</v>
      </c>
      <c r="BI17" s="19">
        <f>F17*AP17</f>
        <v>0</v>
      </c>
      <c r="BJ17" s="19">
        <f>F17*G17</f>
        <v>0</v>
      </c>
    </row>
    <row r="18" spans="4:6" ht="12.75">
      <c r="D18" s="15" t="s">
        <v>108</v>
      </c>
      <c r="F18" s="20">
        <v>0.7</v>
      </c>
    </row>
    <row r="19" spans="1:62" ht="12.75">
      <c r="A19" s="4" t="s">
        <v>10</v>
      </c>
      <c r="B19" s="4"/>
      <c r="C19" s="4" t="s">
        <v>56</v>
      </c>
      <c r="D19" s="4" t="s">
        <v>107</v>
      </c>
      <c r="E19" s="4" t="s">
        <v>171</v>
      </c>
      <c r="F19" s="19">
        <v>36.8</v>
      </c>
      <c r="G19" s="116"/>
      <c r="H19" s="19">
        <f>F19*AO19</f>
        <v>0</v>
      </c>
      <c r="I19" s="19">
        <f>F19*AP19</f>
        <v>0</v>
      </c>
      <c r="J19" s="19">
        <f>F19*G19</f>
        <v>0</v>
      </c>
      <c r="K19" s="19">
        <v>9E-05</v>
      </c>
      <c r="L19" s="19">
        <f>F19*K19</f>
        <v>0.003312</v>
      </c>
      <c r="M19" s="32" t="s">
        <v>197</v>
      </c>
      <c r="Z19" s="36">
        <f>IF(AQ19="5",BJ19,0)</f>
        <v>0</v>
      </c>
      <c r="AB19" s="36">
        <f>IF(AQ19="1",BH19,0)</f>
        <v>0</v>
      </c>
      <c r="AC19" s="36">
        <f>IF(AQ19="1",BI19,0)</f>
        <v>0</v>
      </c>
      <c r="AD19" s="36">
        <f>IF(AQ19="7",BH19,0)</f>
        <v>0</v>
      </c>
      <c r="AE19" s="36">
        <f>IF(AQ19="7",BI19,0)</f>
        <v>0</v>
      </c>
      <c r="AF19" s="36">
        <f>IF(AQ19="2",BH19,0)</f>
        <v>0</v>
      </c>
      <c r="AG19" s="36">
        <f>IF(AQ19="2",BI19,0)</f>
        <v>0</v>
      </c>
      <c r="AH19" s="36">
        <f>IF(AQ19="0",BJ19,0)</f>
        <v>0</v>
      </c>
      <c r="AI19" s="29"/>
      <c r="AJ19" s="19">
        <f>IF(AN19=0,J19,0)</f>
        <v>0</v>
      </c>
      <c r="AK19" s="19">
        <f>IF(AN19=15,J19,0)</f>
        <v>0</v>
      </c>
      <c r="AL19" s="19">
        <f>IF(AN19=21,J19,0)</f>
        <v>0</v>
      </c>
      <c r="AN19" s="36">
        <v>21</v>
      </c>
      <c r="AO19" s="36">
        <f>G19*0.563190661478599</f>
        <v>0</v>
      </c>
      <c r="AP19" s="36">
        <f>G19*(1-0.563190661478599)</f>
        <v>0</v>
      </c>
      <c r="AQ19" s="32" t="s">
        <v>13</v>
      </c>
      <c r="AV19" s="36">
        <f>AW19+AX19</f>
        <v>0</v>
      </c>
      <c r="AW19" s="36">
        <f>F19*AO19</f>
        <v>0</v>
      </c>
      <c r="AX19" s="36">
        <f>F19*AP19</f>
        <v>0</v>
      </c>
      <c r="AY19" s="37" t="s">
        <v>207</v>
      </c>
      <c r="AZ19" s="37" t="s">
        <v>214</v>
      </c>
      <c r="BA19" s="29" t="s">
        <v>217</v>
      </c>
      <c r="BC19" s="36">
        <f>AW19+AX19</f>
        <v>0</v>
      </c>
      <c r="BD19" s="36">
        <f>G19/(100-BE19)*100</f>
        <v>0</v>
      </c>
      <c r="BE19" s="36">
        <v>0</v>
      </c>
      <c r="BF19" s="36">
        <f>L19</f>
        <v>0.003312</v>
      </c>
      <c r="BH19" s="19">
        <f>F19*AO19</f>
        <v>0</v>
      </c>
      <c r="BI19" s="19">
        <f>F19*AP19</f>
        <v>0</v>
      </c>
      <c r="BJ19" s="19">
        <f>F19*G19</f>
        <v>0</v>
      </c>
    </row>
    <row r="20" spans="4:6" ht="12.75">
      <c r="D20" s="15" t="s">
        <v>109</v>
      </c>
      <c r="F20" s="20">
        <v>36.8</v>
      </c>
    </row>
    <row r="21" spans="1:62" ht="12.75">
      <c r="A21" s="4" t="s">
        <v>11</v>
      </c>
      <c r="B21" s="4"/>
      <c r="C21" s="4" t="s">
        <v>57</v>
      </c>
      <c r="D21" s="4" t="s">
        <v>107</v>
      </c>
      <c r="E21" s="4" t="s">
        <v>171</v>
      </c>
      <c r="F21" s="19">
        <v>26.6</v>
      </c>
      <c r="G21" s="116"/>
      <c r="H21" s="19">
        <f>F21*AO21</f>
        <v>0</v>
      </c>
      <c r="I21" s="19">
        <f>F21*AP21</f>
        <v>0</v>
      </c>
      <c r="J21" s="19">
        <f>F21*G21</f>
        <v>0</v>
      </c>
      <c r="K21" s="19">
        <v>8E-05</v>
      </c>
      <c r="L21" s="19">
        <f>F21*K21</f>
        <v>0.002128</v>
      </c>
      <c r="M21" s="32" t="s">
        <v>197</v>
      </c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29"/>
      <c r="AJ21" s="19">
        <f>IF(AN21=0,J21,0)</f>
        <v>0</v>
      </c>
      <c r="AK21" s="19">
        <f>IF(AN21=15,J21,0)</f>
        <v>0</v>
      </c>
      <c r="AL21" s="19">
        <f>IF(AN21=21,J21,0)</f>
        <v>0</v>
      </c>
      <c r="AN21" s="36">
        <v>21</v>
      </c>
      <c r="AO21" s="36">
        <f>G21*0.576780821917808</f>
        <v>0</v>
      </c>
      <c r="AP21" s="36">
        <f>G21*(1-0.576780821917808)</f>
        <v>0</v>
      </c>
      <c r="AQ21" s="32" t="s">
        <v>13</v>
      </c>
      <c r="AV21" s="36">
        <f>AW21+AX21</f>
        <v>0</v>
      </c>
      <c r="AW21" s="36">
        <f>F21*AO21</f>
        <v>0</v>
      </c>
      <c r="AX21" s="36">
        <f>F21*AP21</f>
        <v>0</v>
      </c>
      <c r="AY21" s="37" t="s">
        <v>207</v>
      </c>
      <c r="AZ21" s="37" t="s">
        <v>214</v>
      </c>
      <c r="BA21" s="29" t="s">
        <v>217</v>
      </c>
      <c r="BC21" s="36">
        <f>AW21+AX21</f>
        <v>0</v>
      </c>
      <c r="BD21" s="36">
        <f>G21/(100-BE21)*100</f>
        <v>0</v>
      </c>
      <c r="BE21" s="36">
        <v>0</v>
      </c>
      <c r="BF21" s="36">
        <f>L21</f>
        <v>0.002128</v>
      </c>
      <c r="BH21" s="19">
        <f>F21*AO21</f>
        <v>0</v>
      </c>
      <c r="BI21" s="19">
        <f>F21*AP21</f>
        <v>0</v>
      </c>
      <c r="BJ21" s="19">
        <f>F21*G21</f>
        <v>0</v>
      </c>
    </row>
    <row r="22" spans="4:6" ht="12.75">
      <c r="D22" s="15" t="s">
        <v>110</v>
      </c>
      <c r="F22" s="20">
        <v>26.6</v>
      </c>
    </row>
    <row r="23" spans="1:47" ht="12.75">
      <c r="A23" s="5"/>
      <c r="B23" s="13"/>
      <c r="C23" s="13" t="s">
        <v>58</v>
      </c>
      <c r="D23" s="13" t="s">
        <v>111</v>
      </c>
      <c r="E23" s="5" t="s">
        <v>6</v>
      </c>
      <c r="F23" s="5" t="s">
        <v>6</v>
      </c>
      <c r="G23" s="5" t="s">
        <v>6</v>
      </c>
      <c r="H23" s="39">
        <f>SUM(H24:H26)</f>
        <v>0</v>
      </c>
      <c r="I23" s="39">
        <f>SUM(I24:I26)</f>
        <v>0</v>
      </c>
      <c r="J23" s="39">
        <f>SUM(J24:J26)</f>
        <v>0</v>
      </c>
      <c r="K23" s="29"/>
      <c r="L23" s="39">
        <f>SUM(L24:L26)</f>
        <v>0.006010000000000001</v>
      </c>
      <c r="M23" s="29"/>
      <c r="AI23" s="29"/>
      <c r="AS23" s="39">
        <f>SUM(AJ24:AJ26)</f>
        <v>0</v>
      </c>
      <c r="AT23" s="39">
        <f>SUM(AK24:AK26)</f>
        <v>0</v>
      </c>
      <c r="AU23" s="39">
        <f>SUM(AL24:AL26)</f>
        <v>0</v>
      </c>
    </row>
    <row r="24" spans="1:62" ht="12.75">
      <c r="A24" s="4" t="s">
        <v>12</v>
      </c>
      <c r="B24" s="4"/>
      <c r="C24" s="4" t="s">
        <v>59</v>
      </c>
      <c r="D24" s="4" t="s">
        <v>112</v>
      </c>
      <c r="E24" s="4" t="s">
        <v>171</v>
      </c>
      <c r="F24" s="19">
        <v>15</v>
      </c>
      <c r="G24" s="116"/>
      <c r="H24" s="19">
        <f>F24*AO24</f>
        <v>0</v>
      </c>
      <c r="I24" s="19">
        <f>F24*AP24</f>
        <v>0</v>
      </c>
      <c r="J24" s="19">
        <f>F24*G24</f>
        <v>0</v>
      </c>
      <c r="K24" s="19">
        <v>0.00037</v>
      </c>
      <c r="L24" s="19">
        <f>F24*K24</f>
        <v>0.00555</v>
      </c>
      <c r="M24" s="32" t="s">
        <v>197</v>
      </c>
      <c r="Z24" s="36">
        <f>IF(AQ24="5",BJ24,0)</f>
        <v>0</v>
      </c>
      <c r="AB24" s="36">
        <f>IF(AQ24="1",BH24,0)</f>
        <v>0</v>
      </c>
      <c r="AC24" s="36">
        <f>IF(AQ24="1",BI24,0)</f>
        <v>0</v>
      </c>
      <c r="AD24" s="36">
        <f>IF(AQ24="7",BH24,0)</f>
        <v>0</v>
      </c>
      <c r="AE24" s="36">
        <f>IF(AQ24="7",BI24,0)</f>
        <v>0</v>
      </c>
      <c r="AF24" s="36">
        <f>IF(AQ24="2",BH24,0)</f>
        <v>0</v>
      </c>
      <c r="AG24" s="36">
        <f>IF(AQ24="2",BI24,0)</f>
        <v>0</v>
      </c>
      <c r="AH24" s="36">
        <f>IF(AQ24="0",BJ24,0)</f>
        <v>0</v>
      </c>
      <c r="AI24" s="29"/>
      <c r="AJ24" s="19">
        <f>IF(AN24=0,J24,0)</f>
        <v>0</v>
      </c>
      <c r="AK24" s="19">
        <f>IF(AN24=15,J24,0)</f>
        <v>0</v>
      </c>
      <c r="AL24" s="19">
        <f>IF(AN24=21,J24,0)</f>
        <v>0</v>
      </c>
      <c r="AN24" s="36">
        <v>21</v>
      </c>
      <c r="AO24" s="36">
        <f>G24*0.793098159509202</f>
        <v>0</v>
      </c>
      <c r="AP24" s="36">
        <f>G24*(1-0.793098159509202)</f>
        <v>0</v>
      </c>
      <c r="AQ24" s="32" t="s">
        <v>13</v>
      </c>
      <c r="AV24" s="36">
        <f>AW24+AX24</f>
        <v>0</v>
      </c>
      <c r="AW24" s="36">
        <f>F24*AO24</f>
        <v>0</v>
      </c>
      <c r="AX24" s="36">
        <f>F24*AP24</f>
        <v>0</v>
      </c>
      <c r="AY24" s="37" t="s">
        <v>208</v>
      </c>
      <c r="AZ24" s="37" t="s">
        <v>215</v>
      </c>
      <c r="BA24" s="29" t="s">
        <v>217</v>
      </c>
      <c r="BC24" s="36">
        <f>AW24+AX24</f>
        <v>0</v>
      </c>
      <c r="BD24" s="36">
        <f>G24/(100-BE24)*100</f>
        <v>0</v>
      </c>
      <c r="BE24" s="36">
        <v>0</v>
      </c>
      <c r="BF24" s="36">
        <f>L24</f>
        <v>0.00555</v>
      </c>
      <c r="BH24" s="19">
        <f>F24*AO24</f>
        <v>0</v>
      </c>
      <c r="BI24" s="19">
        <f>F24*AP24</f>
        <v>0</v>
      </c>
      <c r="BJ24" s="19">
        <f>F24*G24</f>
        <v>0</v>
      </c>
    </row>
    <row r="25" spans="4:6" ht="12.75">
      <c r="D25" s="15" t="s">
        <v>113</v>
      </c>
      <c r="F25" s="20">
        <v>15</v>
      </c>
    </row>
    <row r="26" spans="1:62" ht="12.75">
      <c r="A26" s="4" t="s">
        <v>13</v>
      </c>
      <c r="B26" s="4"/>
      <c r="C26" s="4" t="s">
        <v>60</v>
      </c>
      <c r="D26" s="4" t="s">
        <v>114</v>
      </c>
      <c r="E26" s="4" t="s">
        <v>172</v>
      </c>
      <c r="F26" s="19">
        <v>1</v>
      </c>
      <c r="G26" s="116"/>
      <c r="H26" s="19">
        <f>F26*AO26</f>
        <v>0</v>
      </c>
      <c r="I26" s="19">
        <f>F26*AP26</f>
        <v>0</v>
      </c>
      <c r="J26" s="19">
        <f>F26*G26</f>
        <v>0</v>
      </c>
      <c r="K26" s="19">
        <v>0.00046</v>
      </c>
      <c r="L26" s="19">
        <f>F26*K26</f>
        <v>0.00046</v>
      </c>
      <c r="M26" s="32" t="s">
        <v>197</v>
      </c>
      <c r="Z26" s="36">
        <f>IF(AQ26="5",BJ26,0)</f>
        <v>0</v>
      </c>
      <c r="AB26" s="36">
        <f>IF(AQ26="1",BH26,0)</f>
        <v>0</v>
      </c>
      <c r="AC26" s="36">
        <f>IF(AQ26="1",BI26,0)</f>
        <v>0</v>
      </c>
      <c r="AD26" s="36">
        <f>IF(AQ26="7",BH26,0)</f>
        <v>0</v>
      </c>
      <c r="AE26" s="36">
        <f>IF(AQ26="7",BI26,0)</f>
        <v>0</v>
      </c>
      <c r="AF26" s="36">
        <f>IF(AQ26="2",BH26,0)</f>
        <v>0</v>
      </c>
      <c r="AG26" s="36">
        <f>IF(AQ26="2",BI26,0)</f>
        <v>0</v>
      </c>
      <c r="AH26" s="36">
        <f>IF(AQ26="0",BJ26,0)</f>
        <v>0</v>
      </c>
      <c r="AI26" s="29"/>
      <c r="AJ26" s="19">
        <f>IF(AN26=0,J26,0)</f>
        <v>0</v>
      </c>
      <c r="AK26" s="19">
        <f>IF(AN26=15,J26,0)</f>
        <v>0</v>
      </c>
      <c r="AL26" s="19">
        <f>IF(AN26=21,J26,0)</f>
        <v>0</v>
      </c>
      <c r="AN26" s="36">
        <v>21</v>
      </c>
      <c r="AO26" s="36">
        <f>G26*0.0130979166666667</f>
        <v>0</v>
      </c>
      <c r="AP26" s="36">
        <f>G26*(1-0.0130979166666667)</f>
        <v>0</v>
      </c>
      <c r="AQ26" s="32" t="s">
        <v>13</v>
      </c>
      <c r="AV26" s="36">
        <f>AW26+AX26</f>
        <v>0</v>
      </c>
      <c r="AW26" s="36">
        <f>F26*AO26</f>
        <v>0</v>
      </c>
      <c r="AX26" s="36">
        <f>F26*AP26</f>
        <v>0</v>
      </c>
      <c r="AY26" s="37" t="s">
        <v>208</v>
      </c>
      <c r="AZ26" s="37" t="s">
        <v>215</v>
      </c>
      <c r="BA26" s="29" t="s">
        <v>217</v>
      </c>
      <c r="BC26" s="36">
        <f>AW26+AX26</f>
        <v>0</v>
      </c>
      <c r="BD26" s="36">
        <f>G26/(100-BE26)*100</f>
        <v>0</v>
      </c>
      <c r="BE26" s="36">
        <v>0</v>
      </c>
      <c r="BF26" s="36">
        <f>L26</f>
        <v>0.00046</v>
      </c>
      <c r="BH26" s="19">
        <f>F26*AO26</f>
        <v>0</v>
      </c>
      <c r="BI26" s="19">
        <f>F26*AP26</f>
        <v>0</v>
      </c>
      <c r="BJ26" s="19">
        <f>F26*G26</f>
        <v>0</v>
      </c>
    </row>
    <row r="27" spans="4:6" ht="12.75">
      <c r="D27" s="15" t="s">
        <v>115</v>
      </c>
      <c r="F27" s="20">
        <v>1</v>
      </c>
    </row>
    <row r="28" spans="1:47" ht="12.75">
      <c r="A28" s="5"/>
      <c r="B28" s="13"/>
      <c r="C28" s="13" t="s">
        <v>61</v>
      </c>
      <c r="D28" s="13" t="s">
        <v>116</v>
      </c>
      <c r="E28" s="5" t="s">
        <v>6</v>
      </c>
      <c r="F28" s="5" t="s">
        <v>6</v>
      </c>
      <c r="G28" s="5" t="s">
        <v>6</v>
      </c>
      <c r="H28" s="39">
        <f>SUM(H29:H41)</f>
        <v>0</v>
      </c>
      <c r="I28" s="39">
        <f>SUM(I29:I41)</f>
        <v>0</v>
      </c>
      <c r="J28" s="39">
        <f>SUM(J29:J41)</f>
        <v>0</v>
      </c>
      <c r="K28" s="29"/>
      <c r="L28" s="39">
        <f>SUM(L29:L41)</f>
        <v>0.230635</v>
      </c>
      <c r="M28" s="29"/>
      <c r="AI28" s="29"/>
      <c r="AS28" s="39">
        <f>SUM(AJ29:AJ41)</f>
        <v>0</v>
      </c>
      <c r="AT28" s="39">
        <f>SUM(AK29:AK41)</f>
        <v>0</v>
      </c>
      <c r="AU28" s="39">
        <f>SUM(AL29:AL41)</f>
        <v>0</v>
      </c>
    </row>
    <row r="29" spans="1:62" ht="12.75">
      <c r="A29" s="4" t="s">
        <v>14</v>
      </c>
      <c r="B29" s="4"/>
      <c r="C29" s="4" t="s">
        <v>62</v>
      </c>
      <c r="D29" s="4" t="s">
        <v>117</v>
      </c>
      <c r="E29" s="4" t="s">
        <v>171</v>
      </c>
      <c r="F29" s="19">
        <v>139.8</v>
      </c>
      <c r="G29" s="116"/>
      <c r="H29" s="19">
        <f>F29*AO29</f>
        <v>0</v>
      </c>
      <c r="I29" s="19">
        <f>F29*AP29</f>
        <v>0</v>
      </c>
      <c r="J29" s="19">
        <f>F29*G29</f>
        <v>0</v>
      </c>
      <c r="K29" s="19">
        <v>0.00076</v>
      </c>
      <c r="L29" s="19">
        <f>F29*K29</f>
        <v>0.10624800000000001</v>
      </c>
      <c r="M29" s="32" t="s">
        <v>197</v>
      </c>
      <c r="Z29" s="36">
        <f>IF(AQ29="5",BJ29,0)</f>
        <v>0</v>
      </c>
      <c r="AB29" s="36">
        <f>IF(AQ29="1",BH29,0)</f>
        <v>0</v>
      </c>
      <c r="AC29" s="36">
        <f>IF(AQ29="1",BI29,0)</f>
        <v>0</v>
      </c>
      <c r="AD29" s="36">
        <f>IF(AQ29="7",BH29,0)</f>
        <v>0</v>
      </c>
      <c r="AE29" s="36">
        <f>IF(AQ29="7",BI29,0)</f>
        <v>0</v>
      </c>
      <c r="AF29" s="36">
        <f>IF(AQ29="2",BH29,0)</f>
        <v>0</v>
      </c>
      <c r="AG29" s="36">
        <f>IF(AQ29="2",BI29,0)</f>
        <v>0</v>
      </c>
      <c r="AH29" s="36">
        <f>IF(AQ29="0",BJ29,0)</f>
        <v>0</v>
      </c>
      <c r="AI29" s="29"/>
      <c r="AJ29" s="19">
        <f>IF(AN29=0,J29,0)</f>
        <v>0</v>
      </c>
      <c r="AK29" s="19">
        <f>IF(AN29=15,J29,0)</f>
        <v>0</v>
      </c>
      <c r="AL29" s="19">
        <f>IF(AN29=21,J29,0)</f>
        <v>0</v>
      </c>
      <c r="AN29" s="36">
        <v>21</v>
      </c>
      <c r="AO29" s="36">
        <f>G29*0.521840873634945</f>
        <v>0</v>
      </c>
      <c r="AP29" s="36">
        <f>G29*(1-0.521840873634945)</f>
        <v>0</v>
      </c>
      <c r="AQ29" s="32" t="s">
        <v>13</v>
      </c>
      <c r="AV29" s="36">
        <f>AW29+AX29</f>
        <v>0</v>
      </c>
      <c r="AW29" s="36">
        <f>F29*AO29</f>
        <v>0</v>
      </c>
      <c r="AX29" s="36">
        <f>F29*AP29</f>
        <v>0</v>
      </c>
      <c r="AY29" s="37" t="s">
        <v>209</v>
      </c>
      <c r="AZ29" s="37" t="s">
        <v>215</v>
      </c>
      <c r="BA29" s="29" t="s">
        <v>217</v>
      </c>
      <c r="BC29" s="36">
        <f>AW29+AX29</f>
        <v>0</v>
      </c>
      <c r="BD29" s="36">
        <f>G29/(100-BE29)*100</f>
        <v>0</v>
      </c>
      <c r="BE29" s="36">
        <v>0</v>
      </c>
      <c r="BF29" s="36">
        <f>L29</f>
        <v>0.10624800000000001</v>
      </c>
      <c r="BH29" s="19">
        <f>F29*AO29</f>
        <v>0</v>
      </c>
      <c r="BI29" s="19">
        <f>F29*AP29</f>
        <v>0</v>
      </c>
      <c r="BJ29" s="19">
        <f>F29*G29</f>
        <v>0</v>
      </c>
    </row>
    <row r="30" spans="4:6" ht="12.75">
      <c r="D30" s="15" t="s">
        <v>274</v>
      </c>
      <c r="F30" s="20">
        <v>139.8</v>
      </c>
    </row>
    <row r="31" spans="1:62" ht="12.75">
      <c r="A31" s="4" t="s">
        <v>15</v>
      </c>
      <c r="B31" s="4"/>
      <c r="C31" s="4" t="s">
        <v>63</v>
      </c>
      <c r="D31" s="4" t="s">
        <v>118</v>
      </c>
      <c r="E31" s="4" t="s">
        <v>171</v>
      </c>
      <c r="F31" s="19">
        <v>14.3</v>
      </c>
      <c r="G31" s="116"/>
      <c r="H31" s="19">
        <f>F31*AO31</f>
        <v>0</v>
      </c>
      <c r="I31" s="19">
        <f>F31*AP31</f>
        <v>0</v>
      </c>
      <c r="J31" s="19">
        <f>F31*G31</f>
        <v>0</v>
      </c>
      <c r="K31" s="19">
        <v>0.00088</v>
      </c>
      <c r="L31" s="19">
        <f>F31*K31</f>
        <v>0.012584000000000001</v>
      </c>
      <c r="M31" s="32" t="s">
        <v>197</v>
      </c>
      <c r="Z31" s="36">
        <f>IF(AQ31="5",BJ31,0)</f>
        <v>0</v>
      </c>
      <c r="AB31" s="36">
        <f>IF(AQ31="1",BH31,0)</f>
        <v>0</v>
      </c>
      <c r="AC31" s="36">
        <f>IF(AQ31="1",BI31,0)</f>
        <v>0</v>
      </c>
      <c r="AD31" s="36">
        <f>IF(AQ31="7",BH31,0)</f>
        <v>0</v>
      </c>
      <c r="AE31" s="36">
        <f>IF(AQ31="7",BI31,0)</f>
        <v>0</v>
      </c>
      <c r="AF31" s="36">
        <f>IF(AQ31="2",BH31,0)</f>
        <v>0</v>
      </c>
      <c r="AG31" s="36">
        <f>IF(AQ31="2",BI31,0)</f>
        <v>0</v>
      </c>
      <c r="AH31" s="36">
        <f>IF(AQ31="0",BJ31,0)</f>
        <v>0</v>
      </c>
      <c r="AI31" s="29"/>
      <c r="AJ31" s="19">
        <f>IF(AN31=0,J31,0)</f>
        <v>0</v>
      </c>
      <c r="AK31" s="19">
        <f>IF(AN31=15,J31,0)</f>
        <v>0</v>
      </c>
      <c r="AL31" s="19">
        <f>IF(AN31=21,J31,0)</f>
        <v>0</v>
      </c>
      <c r="AN31" s="36">
        <v>21</v>
      </c>
      <c r="AO31" s="36">
        <f>G31*0.568773942271782</f>
        <v>0</v>
      </c>
      <c r="AP31" s="36">
        <f>G31*(1-0.568773942271782)</f>
        <v>0</v>
      </c>
      <c r="AQ31" s="32" t="s">
        <v>13</v>
      </c>
      <c r="AV31" s="36">
        <f>AW31+AX31</f>
        <v>0</v>
      </c>
      <c r="AW31" s="36">
        <f>F31*AO31</f>
        <v>0</v>
      </c>
      <c r="AX31" s="36">
        <f>F31*AP31</f>
        <v>0</v>
      </c>
      <c r="AY31" s="37" t="s">
        <v>209</v>
      </c>
      <c r="AZ31" s="37" t="s">
        <v>215</v>
      </c>
      <c r="BA31" s="29" t="s">
        <v>217</v>
      </c>
      <c r="BC31" s="36">
        <f>AW31+AX31</f>
        <v>0</v>
      </c>
      <c r="BD31" s="36">
        <f>G31/(100-BE31)*100</f>
        <v>0</v>
      </c>
      <c r="BE31" s="36">
        <v>0</v>
      </c>
      <c r="BF31" s="36">
        <f>L31</f>
        <v>0.012584000000000001</v>
      </c>
      <c r="BH31" s="19">
        <f>F31*AO31</f>
        <v>0</v>
      </c>
      <c r="BI31" s="19">
        <f>F31*AP31</f>
        <v>0</v>
      </c>
      <c r="BJ31" s="19">
        <f>F31*G31</f>
        <v>0</v>
      </c>
    </row>
    <row r="32" spans="4:6" ht="12.75">
      <c r="D32" s="15" t="s">
        <v>273</v>
      </c>
      <c r="F32" s="20">
        <v>14.3</v>
      </c>
    </row>
    <row r="33" spans="1:62" ht="12.75">
      <c r="A33" s="4" t="s">
        <v>16</v>
      </c>
      <c r="B33" s="4"/>
      <c r="C33" s="4" t="s">
        <v>64</v>
      </c>
      <c r="D33" s="4" t="s">
        <v>119</v>
      </c>
      <c r="E33" s="4" t="s">
        <v>171</v>
      </c>
      <c r="F33" s="19">
        <v>0.7</v>
      </c>
      <c r="G33" s="116"/>
      <c r="H33" s="19">
        <f>F33*AO33</f>
        <v>0</v>
      </c>
      <c r="I33" s="19">
        <f>F33*AP33</f>
        <v>0</v>
      </c>
      <c r="J33" s="19">
        <f>F33*G33</f>
        <v>0</v>
      </c>
      <c r="K33" s="19">
        <v>0.00101</v>
      </c>
      <c r="L33" s="19">
        <f>F33*K33</f>
        <v>0.000707</v>
      </c>
      <c r="M33" s="32" t="s">
        <v>197</v>
      </c>
      <c r="Z33" s="36">
        <f>IF(AQ33="5",BJ33,0)</f>
        <v>0</v>
      </c>
      <c r="AB33" s="36">
        <f>IF(AQ33="1",BH33,0)</f>
        <v>0</v>
      </c>
      <c r="AC33" s="36">
        <f>IF(AQ33="1",BI33,0)</f>
        <v>0</v>
      </c>
      <c r="AD33" s="36">
        <f>IF(AQ33="7",BH33,0)</f>
        <v>0</v>
      </c>
      <c r="AE33" s="36">
        <f>IF(AQ33="7",BI33,0)</f>
        <v>0</v>
      </c>
      <c r="AF33" s="36">
        <f>IF(AQ33="2",BH33,0)</f>
        <v>0</v>
      </c>
      <c r="AG33" s="36">
        <f>IF(AQ33="2",BI33,0)</f>
        <v>0</v>
      </c>
      <c r="AH33" s="36">
        <f>IF(AQ33="0",BJ33,0)</f>
        <v>0</v>
      </c>
      <c r="AI33" s="29"/>
      <c r="AJ33" s="19">
        <f>IF(AN33=0,J33,0)</f>
        <v>0</v>
      </c>
      <c r="AK33" s="19">
        <f>IF(AN33=15,J33,0)</f>
        <v>0</v>
      </c>
      <c r="AL33" s="19">
        <f>IF(AN33=21,J33,0)</f>
        <v>0</v>
      </c>
      <c r="AN33" s="36">
        <v>21</v>
      </c>
      <c r="AO33" s="36">
        <f>G33*0.610261904761905</f>
        <v>0</v>
      </c>
      <c r="AP33" s="36">
        <f>G33*(1-0.610261904761905)</f>
        <v>0</v>
      </c>
      <c r="AQ33" s="32" t="s">
        <v>13</v>
      </c>
      <c r="AV33" s="36">
        <f>AW33+AX33</f>
        <v>0</v>
      </c>
      <c r="AW33" s="36">
        <f>F33*AO33</f>
        <v>0</v>
      </c>
      <c r="AX33" s="36">
        <f>F33*AP33</f>
        <v>0</v>
      </c>
      <c r="AY33" s="37" t="s">
        <v>209</v>
      </c>
      <c r="AZ33" s="37" t="s">
        <v>215</v>
      </c>
      <c r="BA33" s="29" t="s">
        <v>217</v>
      </c>
      <c r="BC33" s="36">
        <f>AW33+AX33</f>
        <v>0</v>
      </c>
      <c r="BD33" s="36">
        <f>G33/(100-BE33)*100</f>
        <v>0</v>
      </c>
      <c r="BE33" s="36">
        <v>0</v>
      </c>
      <c r="BF33" s="36">
        <f>L33</f>
        <v>0.000707</v>
      </c>
      <c r="BH33" s="19">
        <f>F33*AO33</f>
        <v>0</v>
      </c>
      <c r="BI33" s="19">
        <f>F33*AP33</f>
        <v>0</v>
      </c>
      <c r="BJ33" s="19">
        <f>F33*G33</f>
        <v>0</v>
      </c>
    </row>
    <row r="34" spans="4:6" ht="12.75">
      <c r="D34" s="15" t="s">
        <v>108</v>
      </c>
      <c r="F34" s="20">
        <v>0.7</v>
      </c>
    </row>
    <row r="35" spans="1:62" ht="12.75">
      <c r="A35" s="4" t="s">
        <v>17</v>
      </c>
      <c r="B35" s="4"/>
      <c r="C35" s="4" t="s">
        <v>65</v>
      </c>
      <c r="D35" s="4" t="s">
        <v>120</v>
      </c>
      <c r="E35" s="4" t="s">
        <v>171</v>
      </c>
      <c r="F35" s="19">
        <v>36.8</v>
      </c>
      <c r="G35" s="116"/>
      <c r="H35" s="19">
        <f>F35*AO35</f>
        <v>0</v>
      </c>
      <c r="I35" s="19">
        <f>F35*AP35</f>
        <v>0</v>
      </c>
      <c r="J35" s="19">
        <f>F35*G35</f>
        <v>0</v>
      </c>
      <c r="K35" s="19">
        <v>0.0016</v>
      </c>
      <c r="L35" s="19">
        <f>F35*K35</f>
        <v>0.058879999999999995</v>
      </c>
      <c r="M35" s="32" t="s">
        <v>197</v>
      </c>
      <c r="Z35" s="36">
        <f>IF(AQ35="5",BJ35,0)</f>
        <v>0</v>
      </c>
      <c r="AB35" s="36">
        <f>IF(AQ35="1",BH35,0)</f>
        <v>0</v>
      </c>
      <c r="AC35" s="36">
        <f>IF(AQ35="1",BI35,0)</f>
        <v>0</v>
      </c>
      <c r="AD35" s="36">
        <f>IF(AQ35="7",BH35,0)</f>
        <v>0</v>
      </c>
      <c r="AE35" s="36">
        <f>IF(AQ35="7",BI35,0)</f>
        <v>0</v>
      </c>
      <c r="AF35" s="36">
        <f>IF(AQ35="2",BH35,0)</f>
        <v>0</v>
      </c>
      <c r="AG35" s="36">
        <f>IF(AQ35="2",BI35,0)</f>
        <v>0</v>
      </c>
      <c r="AH35" s="36">
        <f>IF(AQ35="0",BJ35,0)</f>
        <v>0</v>
      </c>
      <c r="AI35" s="29"/>
      <c r="AJ35" s="19">
        <f>IF(AN35=0,J35,0)</f>
        <v>0</v>
      </c>
      <c r="AK35" s="19">
        <f>IF(AN35=15,J35,0)</f>
        <v>0</v>
      </c>
      <c r="AL35" s="19">
        <f>IF(AN35=21,J35,0)</f>
        <v>0</v>
      </c>
      <c r="AN35" s="36">
        <v>21</v>
      </c>
      <c r="AO35" s="36">
        <f>G35*0.718482448653935</f>
        <v>0</v>
      </c>
      <c r="AP35" s="36">
        <f>G35*(1-0.718482448653935)</f>
        <v>0</v>
      </c>
      <c r="AQ35" s="32" t="s">
        <v>13</v>
      </c>
      <c r="AV35" s="36">
        <f>AW35+AX35</f>
        <v>0</v>
      </c>
      <c r="AW35" s="36">
        <f>F35*AO35</f>
        <v>0</v>
      </c>
      <c r="AX35" s="36">
        <f>F35*AP35</f>
        <v>0</v>
      </c>
      <c r="AY35" s="37" t="s">
        <v>209</v>
      </c>
      <c r="AZ35" s="37" t="s">
        <v>215</v>
      </c>
      <c r="BA35" s="29" t="s">
        <v>217</v>
      </c>
      <c r="BC35" s="36">
        <f>AW35+AX35</f>
        <v>0</v>
      </c>
      <c r="BD35" s="36">
        <f>G35/(100-BE35)*100</f>
        <v>0</v>
      </c>
      <c r="BE35" s="36">
        <v>0</v>
      </c>
      <c r="BF35" s="36">
        <f>L35</f>
        <v>0.058879999999999995</v>
      </c>
      <c r="BH35" s="19">
        <f>F35*AO35</f>
        <v>0</v>
      </c>
      <c r="BI35" s="19">
        <f>F35*AP35</f>
        <v>0</v>
      </c>
      <c r="BJ35" s="19">
        <f>F35*G35</f>
        <v>0</v>
      </c>
    </row>
    <row r="36" spans="4:6" ht="12.75">
      <c r="D36" s="15" t="s">
        <v>109</v>
      </c>
      <c r="F36" s="20">
        <v>36.8</v>
      </c>
    </row>
    <row r="37" spans="1:62" ht="12.75">
      <c r="A37" s="4" t="s">
        <v>18</v>
      </c>
      <c r="B37" s="4"/>
      <c r="C37" s="4" t="s">
        <v>66</v>
      </c>
      <c r="D37" s="4" t="s">
        <v>121</v>
      </c>
      <c r="E37" s="4" t="s">
        <v>171</v>
      </c>
      <c r="F37" s="19">
        <v>26.6</v>
      </c>
      <c r="G37" s="116"/>
      <c r="H37" s="19">
        <f>F37*AO37</f>
        <v>0</v>
      </c>
      <c r="I37" s="19">
        <f>F37*AP37</f>
        <v>0</v>
      </c>
      <c r="J37" s="19">
        <f>F37*G37</f>
        <v>0</v>
      </c>
      <c r="K37" s="19">
        <v>0.00196</v>
      </c>
      <c r="L37" s="19">
        <f>F37*K37</f>
        <v>0.052136</v>
      </c>
      <c r="M37" s="32" t="s">
        <v>197</v>
      </c>
      <c r="Z37" s="36">
        <f>IF(AQ37="5",BJ37,0)</f>
        <v>0</v>
      </c>
      <c r="AB37" s="36">
        <f>IF(AQ37="1",BH37,0)</f>
        <v>0</v>
      </c>
      <c r="AC37" s="36">
        <f>IF(AQ37="1",BI37,0)</f>
        <v>0</v>
      </c>
      <c r="AD37" s="36">
        <f>IF(AQ37="7",BH37,0)</f>
        <v>0</v>
      </c>
      <c r="AE37" s="36">
        <f>IF(AQ37="7",BI37,0)</f>
        <v>0</v>
      </c>
      <c r="AF37" s="36">
        <f>IF(AQ37="2",BH37,0)</f>
        <v>0</v>
      </c>
      <c r="AG37" s="36">
        <f>IF(AQ37="2",BI37,0)</f>
        <v>0</v>
      </c>
      <c r="AH37" s="36">
        <f>IF(AQ37="0",BJ37,0)</f>
        <v>0</v>
      </c>
      <c r="AI37" s="29"/>
      <c r="AJ37" s="19">
        <f>IF(AN37=0,J37,0)</f>
        <v>0</v>
      </c>
      <c r="AK37" s="19">
        <f>IF(AN37=15,J37,0)</f>
        <v>0</v>
      </c>
      <c r="AL37" s="19">
        <f>IF(AN37=21,J37,0)</f>
        <v>0</v>
      </c>
      <c r="AN37" s="36">
        <v>21</v>
      </c>
      <c r="AO37" s="36">
        <f>G37*0.759322916666667</f>
        <v>0</v>
      </c>
      <c r="AP37" s="36">
        <f>G37*(1-0.759322916666667)</f>
        <v>0</v>
      </c>
      <c r="AQ37" s="32" t="s">
        <v>13</v>
      </c>
      <c r="AV37" s="36">
        <f>AW37+AX37</f>
        <v>0</v>
      </c>
      <c r="AW37" s="36">
        <f>F37*AO37</f>
        <v>0</v>
      </c>
      <c r="AX37" s="36">
        <f>F37*AP37</f>
        <v>0</v>
      </c>
      <c r="AY37" s="37" t="s">
        <v>209</v>
      </c>
      <c r="AZ37" s="37" t="s">
        <v>215</v>
      </c>
      <c r="BA37" s="29" t="s">
        <v>217</v>
      </c>
      <c r="BC37" s="36">
        <f>AW37+AX37</f>
        <v>0</v>
      </c>
      <c r="BD37" s="36">
        <f>G37/(100-BE37)*100</f>
        <v>0</v>
      </c>
      <c r="BE37" s="36">
        <v>0</v>
      </c>
      <c r="BF37" s="36">
        <f>L37</f>
        <v>0.052136</v>
      </c>
      <c r="BH37" s="19">
        <f>F37*AO37</f>
        <v>0</v>
      </c>
      <c r="BI37" s="19">
        <f>F37*AP37</f>
        <v>0</v>
      </c>
      <c r="BJ37" s="19">
        <f>F37*G37</f>
        <v>0</v>
      </c>
    </row>
    <row r="38" spans="4:6" ht="12.75">
      <c r="D38" s="15" t="s">
        <v>110</v>
      </c>
      <c r="F38" s="20">
        <v>26.6</v>
      </c>
    </row>
    <row r="39" spans="1:62" ht="12.75">
      <c r="A39" s="4" t="s">
        <v>19</v>
      </c>
      <c r="B39" s="4"/>
      <c r="C39" s="4" t="s">
        <v>67</v>
      </c>
      <c r="D39" s="4" t="s">
        <v>122</v>
      </c>
      <c r="E39" s="4" t="s">
        <v>171</v>
      </c>
      <c r="F39" s="19">
        <v>218.2</v>
      </c>
      <c r="G39" s="116"/>
      <c r="H39" s="19">
        <f>F39*AO39</f>
        <v>0</v>
      </c>
      <c r="I39" s="19">
        <f>F39*AP39</f>
        <v>0</v>
      </c>
      <c r="J39" s="19">
        <f>F39*G39</f>
        <v>0</v>
      </c>
      <c r="K39" s="19">
        <v>0</v>
      </c>
      <c r="L39" s="19">
        <f>F39*K39</f>
        <v>0</v>
      </c>
      <c r="M39" s="32" t="s">
        <v>197</v>
      </c>
      <c r="Z39" s="36">
        <f>IF(AQ39="5",BJ39,0)</f>
        <v>0</v>
      </c>
      <c r="AB39" s="36">
        <f>IF(AQ39="1",BH39,0)</f>
        <v>0</v>
      </c>
      <c r="AC39" s="36">
        <f>IF(AQ39="1",BI39,0)</f>
        <v>0</v>
      </c>
      <c r="AD39" s="36">
        <f>IF(AQ39="7",BH39,0)</f>
        <v>0</v>
      </c>
      <c r="AE39" s="36">
        <f>IF(AQ39="7",BI39,0)</f>
        <v>0</v>
      </c>
      <c r="AF39" s="36">
        <f>IF(AQ39="2",BH39,0)</f>
        <v>0</v>
      </c>
      <c r="AG39" s="36">
        <f>IF(AQ39="2",BI39,0)</f>
        <v>0</v>
      </c>
      <c r="AH39" s="36">
        <f>IF(AQ39="0",BJ39,0)</f>
        <v>0</v>
      </c>
      <c r="AI39" s="29"/>
      <c r="AJ39" s="19">
        <f>IF(AN39=0,J39,0)</f>
        <v>0</v>
      </c>
      <c r="AK39" s="19">
        <f>IF(AN39=15,J39,0)</f>
        <v>0</v>
      </c>
      <c r="AL39" s="19">
        <f>IF(AN39=21,J39,0)</f>
        <v>0</v>
      </c>
      <c r="AN39" s="36">
        <v>21</v>
      </c>
      <c r="AO39" s="36">
        <f>G39*0.0215909090909091</f>
        <v>0</v>
      </c>
      <c r="AP39" s="36">
        <f>G39*(1-0.0215909090909091)</f>
        <v>0</v>
      </c>
      <c r="AQ39" s="32" t="s">
        <v>13</v>
      </c>
      <c r="AV39" s="36">
        <f>AW39+AX39</f>
        <v>0</v>
      </c>
      <c r="AW39" s="36">
        <f>F39*AO39</f>
        <v>0</v>
      </c>
      <c r="AX39" s="36">
        <f>F39*AP39</f>
        <v>0</v>
      </c>
      <c r="AY39" s="37" t="s">
        <v>209</v>
      </c>
      <c r="AZ39" s="37" t="s">
        <v>215</v>
      </c>
      <c r="BA39" s="29" t="s">
        <v>217</v>
      </c>
      <c r="BC39" s="36">
        <f>AW39+AX39</f>
        <v>0</v>
      </c>
      <c r="BD39" s="36">
        <f>G39/(100-BE39)*100</f>
        <v>0</v>
      </c>
      <c r="BE39" s="36">
        <v>0</v>
      </c>
      <c r="BF39" s="36">
        <f>L39</f>
        <v>0</v>
      </c>
      <c r="BH39" s="19">
        <f>F39*AO39</f>
        <v>0</v>
      </c>
      <c r="BI39" s="19">
        <f>F39*AP39</f>
        <v>0</v>
      </c>
      <c r="BJ39" s="19">
        <f>F39*G39</f>
        <v>0</v>
      </c>
    </row>
    <row r="40" spans="4:6" ht="12.75">
      <c r="D40" s="15" t="s">
        <v>275</v>
      </c>
      <c r="F40" s="20">
        <v>218.2</v>
      </c>
    </row>
    <row r="41" spans="1:62" ht="12.75">
      <c r="A41" s="4" t="s">
        <v>20</v>
      </c>
      <c r="B41" s="4"/>
      <c r="C41" s="4" t="s">
        <v>68</v>
      </c>
      <c r="D41" s="4" t="s">
        <v>123</v>
      </c>
      <c r="E41" s="4" t="s">
        <v>173</v>
      </c>
      <c r="F41" s="19">
        <v>1</v>
      </c>
      <c r="G41" s="116"/>
      <c r="H41" s="19">
        <f>F41*AO41</f>
        <v>0</v>
      </c>
      <c r="I41" s="19">
        <f>F41*AP41</f>
        <v>0</v>
      </c>
      <c r="J41" s="19">
        <f>F41*G41</f>
        <v>0</v>
      </c>
      <c r="K41" s="19">
        <v>8E-05</v>
      </c>
      <c r="L41" s="19">
        <f>F41*K41</f>
        <v>8E-05</v>
      </c>
      <c r="M41" s="32" t="s">
        <v>197</v>
      </c>
      <c r="Z41" s="36">
        <f>IF(AQ41="5",BJ41,0)</f>
        <v>0</v>
      </c>
      <c r="AB41" s="36">
        <f>IF(AQ41="1",BH41,0)</f>
        <v>0</v>
      </c>
      <c r="AC41" s="36">
        <f>IF(AQ41="1",BI41,0)</f>
        <v>0</v>
      </c>
      <c r="AD41" s="36">
        <f>IF(AQ41="7",BH41,0)</f>
        <v>0</v>
      </c>
      <c r="AE41" s="36">
        <f>IF(AQ41="7",BI41,0)</f>
        <v>0</v>
      </c>
      <c r="AF41" s="36">
        <f>IF(AQ41="2",BH41,0)</f>
        <v>0</v>
      </c>
      <c r="AG41" s="36">
        <f>IF(AQ41="2",BI41,0)</f>
        <v>0</v>
      </c>
      <c r="AH41" s="36">
        <f>IF(AQ41="0",BJ41,0)</f>
        <v>0</v>
      </c>
      <c r="AI41" s="29"/>
      <c r="AJ41" s="19">
        <f>IF(AN41=0,J41,0)</f>
        <v>0</v>
      </c>
      <c r="AK41" s="19">
        <f>IF(AN41=15,J41,0)</f>
        <v>0</v>
      </c>
      <c r="AL41" s="19">
        <f>IF(AN41=21,J41,0)</f>
        <v>0</v>
      </c>
      <c r="AN41" s="36">
        <v>21</v>
      </c>
      <c r="AO41" s="36">
        <f>G41*0.196853658536585</f>
        <v>0</v>
      </c>
      <c r="AP41" s="36">
        <f>G41*(1-0.196853658536585)</f>
        <v>0</v>
      </c>
      <c r="AQ41" s="32" t="s">
        <v>13</v>
      </c>
      <c r="AV41" s="36">
        <f>AW41+AX41</f>
        <v>0</v>
      </c>
      <c r="AW41" s="36">
        <f>F41*AO41</f>
        <v>0</v>
      </c>
      <c r="AX41" s="36">
        <f>F41*AP41</f>
        <v>0</v>
      </c>
      <c r="AY41" s="37" t="s">
        <v>209</v>
      </c>
      <c r="AZ41" s="37" t="s">
        <v>215</v>
      </c>
      <c r="BA41" s="29" t="s">
        <v>217</v>
      </c>
      <c r="BC41" s="36">
        <f>AW41+AX41</f>
        <v>0</v>
      </c>
      <c r="BD41" s="36">
        <f>G41/(100-BE41)*100</f>
        <v>0</v>
      </c>
      <c r="BE41" s="36">
        <v>0</v>
      </c>
      <c r="BF41" s="36">
        <f>L41</f>
        <v>8E-05</v>
      </c>
      <c r="BH41" s="19">
        <f>F41*AO41</f>
        <v>0</v>
      </c>
      <c r="BI41" s="19">
        <f>F41*AP41</f>
        <v>0</v>
      </c>
      <c r="BJ41" s="19">
        <f>F41*G41</f>
        <v>0</v>
      </c>
    </row>
    <row r="42" spans="4:6" ht="12.75">
      <c r="D42" s="15" t="s">
        <v>124</v>
      </c>
      <c r="F42" s="20">
        <v>1</v>
      </c>
    </row>
    <row r="43" spans="1:47" ht="12.75">
      <c r="A43" s="5"/>
      <c r="B43" s="13"/>
      <c r="C43" s="13" t="s">
        <v>69</v>
      </c>
      <c r="D43" s="13" t="s">
        <v>125</v>
      </c>
      <c r="E43" s="5" t="s">
        <v>6</v>
      </c>
      <c r="F43" s="5" t="s">
        <v>6</v>
      </c>
      <c r="G43" s="5" t="s">
        <v>6</v>
      </c>
      <c r="H43" s="39">
        <f>SUM(H44:H56)</f>
        <v>0</v>
      </c>
      <c r="I43" s="39">
        <f>SUM(I44:I56)</f>
        <v>0</v>
      </c>
      <c r="J43" s="39">
        <f>SUM(J44:J56)</f>
        <v>0</v>
      </c>
      <c r="K43" s="29"/>
      <c r="L43" s="39">
        <f>SUM(L44:L56)</f>
        <v>0.00465</v>
      </c>
      <c r="M43" s="29"/>
      <c r="AI43" s="29"/>
      <c r="AS43" s="39">
        <f>SUM(AJ44:AJ56)</f>
        <v>0</v>
      </c>
      <c r="AT43" s="39">
        <f>SUM(AK44:AK56)</f>
        <v>0</v>
      </c>
      <c r="AU43" s="39">
        <f>SUM(AL44:AL56)</f>
        <v>0</v>
      </c>
    </row>
    <row r="44" spans="1:62" ht="12.75">
      <c r="A44" s="4" t="s">
        <v>21</v>
      </c>
      <c r="B44" s="4"/>
      <c r="C44" s="4" t="s">
        <v>70</v>
      </c>
      <c r="D44" s="4" t="s">
        <v>126</v>
      </c>
      <c r="E44" s="4" t="s">
        <v>173</v>
      </c>
      <c r="F44" s="19">
        <v>24</v>
      </c>
      <c r="G44" s="116"/>
      <c r="H44" s="19">
        <f>F44*AO44</f>
        <v>0</v>
      </c>
      <c r="I44" s="19">
        <f>F44*AP44</f>
        <v>0</v>
      </c>
      <c r="J44" s="19">
        <f>F44*G44</f>
        <v>0</v>
      </c>
      <c r="K44" s="19">
        <v>0</v>
      </c>
      <c r="L44" s="19">
        <f>F44*K44</f>
        <v>0</v>
      </c>
      <c r="M44" s="32" t="s">
        <v>197</v>
      </c>
      <c r="Z44" s="36">
        <f>IF(AQ44="5",BJ44,0)</f>
        <v>0</v>
      </c>
      <c r="AB44" s="36">
        <f>IF(AQ44="1",BH44,0)</f>
        <v>0</v>
      </c>
      <c r="AC44" s="36">
        <f>IF(AQ44="1",BI44,0)</f>
        <v>0</v>
      </c>
      <c r="AD44" s="36">
        <f>IF(AQ44="7",BH44,0)</f>
        <v>0</v>
      </c>
      <c r="AE44" s="36">
        <f>IF(AQ44="7",BI44,0)</f>
        <v>0</v>
      </c>
      <c r="AF44" s="36">
        <f>IF(AQ44="2",BH44,0)</f>
        <v>0</v>
      </c>
      <c r="AG44" s="36">
        <f>IF(AQ44="2",BI44,0)</f>
        <v>0</v>
      </c>
      <c r="AH44" s="36">
        <f>IF(AQ44="0",BJ44,0)</f>
        <v>0</v>
      </c>
      <c r="AI44" s="29"/>
      <c r="AJ44" s="19">
        <f>IF(AN44=0,J44,0)</f>
        <v>0</v>
      </c>
      <c r="AK44" s="19">
        <f>IF(AN44=15,J44,0)</f>
        <v>0</v>
      </c>
      <c r="AL44" s="19">
        <f>IF(AN44=21,J44,0)</f>
        <v>0</v>
      </c>
      <c r="AN44" s="36">
        <v>21</v>
      </c>
      <c r="AO44" s="36">
        <f>G44*0.793452284275737</f>
        <v>0</v>
      </c>
      <c r="AP44" s="36">
        <f>G44*(1-0.793452284275737)</f>
        <v>0</v>
      </c>
      <c r="AQ44" s="32" t="s">
        <v>13</v>
      </c>
      <c r="AV44" s="36">
        <f>AW44+AX44</f>
        <v>0</v>
      </c>
      <c r="AW44" s="36">
        <f>F44*AO44</f>
        <v>0</v>
      </c>
      <c r="AX44" s="36">
        <f>F44*AP44</f>
        <v>0</v>
      </c>
      <c r="AY44" s="37" t="s">
        <v>210</v>
      </c>
      <c r="AZ44" s="37" t="s">
        <v>215</v>
      </c>
      <c r="BA44" s="29" t="s">
        <v>217</v>
      </c>
      <c r="BC44" s="36">
        <f>AW44+AX44</f>
        <v>0</v>
      </c>
      <c r="BD44" s="36">
        <f>G44/(100-BE44)*100</f>
        <v>0</v>
      </c>
      <c r="BE44" s="36">
        <v>0</v>
      </c>
      <c r="BF44" s="36">
        <f>L44</f>
        <v>0</v>
      </c>
      <c r="BH44" s="19">
        <f>F44*AO44</f>
        <v>0</v>
      </c>
      <c r="BI44" s="19">
        <f>F44*AP44</f>
        <v>0</v>
      </c>
      <c r="BJ44" s="19">
        <f>F44*G44</f>
        <v>0</v>
      </c>
    </row>
    <row r="45" spans="4:6" ht="12.75">
      <c r="D45" s="15" t="s">
        <v>30</v>
      </c>
      <c r="F45" s="20">
        <v>24</v>
      </c>
    </row>
    <row r="46" spans="1:62" ht="12.75">
      <c r="A46" s="4" t="s">
        <v>22</v>
      </c>
      <c r="B46" s="4"/>
      <c r="C46" s="4" t="s">
        <v>71</v>
      </c>
      <c r="D46" s="4" t="s">
        <v>127</v>
      </c>
      <c r="E46" s="4" t="s">
        <v>173</v>
      </c>
      <c r="F46" s="19">
        <v>2</v>
      </c>
      <c r="G46" s="116"/>
      <c r="H46" s="19">
        <f>F46*AO46</f>
        <v>0</v>
      </c>
      <c r="I46" s="19">
        <f>F46*AP46</f>
        <v>0</v>
      </c>
      <c r="J46" s="19">
        <f>F46*G46</f>
        <v>0</v>
      </c>
      <c r="K46" s="19">
        <v>0.00048</v>
      </c>
      <c r="L46" s="19">
        <f>F46*K46</f>
        <v>0.00096</v>
      </c>
      <c r="M46" s="32" t="s">
        <v>197</v>
      </c>
      <c r="Z46" s="36">
        <f>IF(AQ46="5",BJ46,0)</f>
        <v>0</v>
      </c>
      <c r="AB46" s="36">
        <f>IF(AQ46="1",BH46,0)</f>
        <v>0</v>
      </c>
      <c r="AC46" s="36">
        <f>IF(AQ46="1",BI46,0)</f>
        <v>0</v>
      </c>
      <c r="AD46" s="36">
        <f>IF(AQ46="7",BH46,0)</f>
        <v>0</v>
      </c>
      <c r="AE46" s="36">
        <f>IF(AQ46="7",BI46,0)</f>
        <v>0</v>
      </c>
      <c r="AF46" s="36">
        <f>IF(AQ46="2",BH46,0)</f>
        <v>0</v>
      </c>
      <c r="AG46" s="36">
        <f>IF(AQ46="2",BI46,0)</f>
        <v>0</v>
      </c>
      <c r="AH46" s="36">
        <f>IF(AQ46="0",BJ46,0)</f>
        <v>0</v>
      </c>
      <c r="AI46" s="29"/>
      <c r="AJ46" s="19">
        <f>IF(AN46=0,J46,0)</f>
        <v>0</v>
      </c>
      <c r="AK46" s="19">
        <f>IF(AN46=15,J46,0)</f>
        <v>0</v>
      </c>
      <c r="AL46" s="19">
        <f>IF(AN46=21,J46,0)</f>
        <v>0</v>
      </c>
      <c r="AN46" s="36">
        <v>21</v>
      </c>
      <c r="AO46" s="36">
        <f>G46*0.780505050505051</f>
        <v>0</v>
      </c>
      <c r="AP46" s="36">
        <f>G46*(1-0.780505050505051)</f>
        <v>0</v>
      </c>
      <c r="AQ46" s="32" t="s">
        <v>13</v>
      </c>
      <c r="AV46" s="36">
        <f>AW46+AX46</f>
        <v>0</v>
      </c>
      <c r="AW46" s="36">
        <f>F46*AO46</f>
        <v>0</v>
      </c>
      <c r="AX46" s="36">
        <f>F46*AP46</f>
        <v>0</v>
      </c>
      <c r="AY46" s="37" t="s">
        <v>210</v>
      </c>
      <c r="AZ46" s="37" t="s">
        <v>215</v>
      </c>
      <c r="BA46" s="29" t="s">
        <v>217</v>
      </c>
      <c r="BC46" s="36">
        <f>AW46+AX46</f>
        <v>0</v>
      </c>
      <c r="BD46" s="36">
        <f>G46/(100-BE46)*100</f>
        <v>0</v>
      </c>
      <c r="BE46" s="36">
        <v>0</v>
      </c>
      <c r="BF46" s="36">
        <f>L46</f>
        <v>0.00096</v>
      </c>
      <c r="BH46" s="19">
        <f>F46*AO46</f>
        <v>0</v>
      </c>
      <c r="BI46" s="19">
        <f>F46*AP46</f>
        <v>0</v>
      </c>
      <c r="BJ46" s="19">
        <f>F46*G46</f>
        <v>0</v>
      </c>
    </row>
    <row r="47" spans="4:6" ht="12.75">
      <c r="D47" s="15" t="s">
        <v>128</v>
      </c>
      <c r="F47" s="20">
        <v>2</v>
      </c>
    </row>
    <row r="48" spans="1:62" ht="12.75">
      <c r="A48" s="4" t="s">
        <v>23</v>
      </c>
      <c r="B48" s="4"/>
      <c r="C48" s="4" t="s">
        <v>72</v>
      </c>
      <c r="D48" s="4" t="s">
        <v>129</v>
      </c>
      <c r="E48" s="4" t="s">
        <v>173</v>
      </c>
      <c r="F48" s="19">
        <v>1</v>
      </c>
      <c r="G48" s="116"/>
      <c r="H48" s="19">
        <f>F48*AO48</f>
        <v>0</v>
      </c>
      <c r="I48" s="19">
        <f>F48*AP48</f>
        <v>0</v>
      </c>
      <c r="J48" s="19">
        <f>F48*G48</f>
        <v>0</v>
      </c>
      <c r="K48" s="19">
        <v>0.00068</v>
      </c>
      <c r="L48" s="19">
        <f>F48*K48</f>
        <v>0.00068</v>
      </c>
      <c r="M48" s="32" t="s">
        <v>197</v>
      </c>
      <c r="Z48" s="36">
        <f>IF(AQ48="5",BJ48,0)</f>
        <v>0</v>
      </c>
      <c r="AB48" s="36">
        <f>IF(AQ48="1",BH48,0)</f>
        <v>0</v>
      </c>
      <c r="AC48" s="36">
        <f>IF(AQ48="1",BI48,0)</f>
        <v>0</v>
      </c>
      <c r="AD48" s="36">
        <f>IF(AQ48="7",BH48,0)</f>
        <v>0</v>
      </c>
      <c r="AE48" s="36">
        <f>IF(AQ48="7",BI48,0)</f>
        <v>0</v>
      </c>
      <c r="AF48" s="36">
        <f>IF(AQ48="2",BH48,0)</f>
        <v>0</v>
      </c>
      <c r="AG48" s="36">
        <f>IF(AQ48="2",BI48,0)</f>
        <v>0</v>
      </c>
      <c r="AH48" s="36">
        <f>IF(AQ48="0",BJ48,0)</f>
        <v>0</v>
      </c>
      <c r="AI48" s="29"/>
      <c r="AJ48" s="19">
        <f>IF(AN48=0,J48,0)</f>
        <v>0</v>
      </c>
      <c r="AK48" s="19">
        <f>IF(AN48=15,J48,0)</f>
        <v>0</v>
      </c>
      <c r="AL48" s="19">
        <f>IF(AN48=21,J48,0)</f>
        <v>0</v>
      </c>
      <c r="AN48" s="36">
        <v>21</v>
      </c>
      <c r="AO48" s="36">
        <f>G48*0.809822747415066</f>
        <v>0</v>
      </c>
      <c r="AP48" s="36">
        <f>G48*(1-0.809822747415066)</f>
        <v>0</v>
      </c>
      <c r="AQ48" s="32" t="s">
        <v>13</v>
      </c>
      <c r="AV48" s="36">
        <f>AW48+AX48</f>
        <v>0</v>
      </c>
      <c r="AW48" s="36">
        <f>F48*AO48</f>
        <v>0</v>
      </c>
      <c r="AX48" s="36">
        <f>F48*AP48</f>
        <v>0</v>
      </c>
      <c r="AY48" s="37" t="s">
        <v>210</v>
      </c>
      <c r="AZ48" s="37" t="s">
        <v>215</v>
      </c>
      <c r="BA48" s="29" t="s">
        <v>217</v>
      </c>
      <c r="BC48" s="36">
        <f>AW48+AX48</f>
        <v>0</v>
      </c>
      <c r="BD48" s="36">
        <f>G48/(100-BE48)*100</f>
        <v>0</v>
      </c>
      <c r="BE48" s="36">
        <v>0</v>
      </c>
      <c r="BF48" s="36">
        <f>L48</f>
        <v>0.00068</v>
      </c>
      <c r="BH48" s="19">
        <f>F48*AO48</f>
        <v>0</v>
      </c>
      <c r="BI48" s="19">
        <f>F48*AP48</f>
        <v>0</v>
      </c>
      <c r="BJ48" s="19">
        <f>F48*G48</f>
        <v>0</v>
      </c>
    </row>
    <row r="49" spans="4:6" ht="12.75">
      <c r="D49" s="15" t="s">
        <v>124</v>
      </c>
      <c r="F49" s="20">
        <v>1</v>
      </c>
    </row>
    <row r="50" spans="1:62" ht="12.75">
      <c r="A50" s="4" t="s">
        <v>24</v>
      </c>
      <c r="B50" s="4"/>
      <c r="C50" s="4" t="s">
        <v>73</v>
      </c>
      <c r="D50" s="4" t="s">
        <v>130</v>
      </c>
      <c r="E50" s="4" t="s">
        <v>173</v>
      </c>
      <c r="F50" s="19">
        <v>3</v>
      </c>
      <c r="G50" s="116"/>
      <c r="H50" s="19">
        <f>F50*AO50</f>
        <v>0</v>
      </c>
      <c r="I50" s="19">
        <f>F50*AP50</f>
        <v>0</v>
      </c>
      <c r="J50" s="19">
        <f>F50*G50</f>
        <v>0</v>
      </c>
      <c r="K50" s="19">
        <v>0</v>
      </c>
      <c r="L50" s="19">
        <f>F50*K50</f>
        <v>0</v>
      </c>
      <c r="M50" s="32" t="s">
        <v>197</v>
      </c>
      <c r="Z50" s="36">
        <f>IF(AQ50="5",BJ50,0)</f>
        <v>0</v>
      </c>
      <c r="AB50" s="36">
        <f>IF(AQ50="1",BH50,0)</f>
        <v>0</v>
      </c>
      <c r="AC50" s="36">
        <f>IF(AQ50="1",BI50,0)</f>
        <v>0</v>
      </c>
      <c r="AD50" s="36">
        <f>IF(AQ50="7",BH50,0)</f>
        <v>0</v>
      </c>
      <c r="AE50" s="36">
        <f>IF(AQ50="7",BI50,0)</f>
        <v>0</v>
      </c>
      <c r="AF50" s="36">
        <f>IF(AQ50="2",BH50,0)</f>
        <v>0</v>
      </c>
      <c r="AG50" s="36">
        <f>IF(AQ50="2",BI50,0)</f>
        <v>0</v>
      </c>
      <c r="AH50" s="36">
        <f>IF(AQ50="0",BJ50,0)</f>
        <v>0</v>
      </c>
      <c r="AI50" s="29"/>
      <c r="AJ50" s="19">
        <f>IF(AN50=0,J50,0)</f>
        <v>0</v>
      </c>
      <c r="AK50" s="19">
        <f>IF(AN50=15,J50,0)</f>
        <v>0</v>
      </c>
      <c r="AL50" s="19">
        <f>IF(AN50=21,J50,0)</f>
        <v>0</v>
      </c>
      <c r="AN50" s="36">
        <v>21</v>
      </c>
      <c r="AO50" s="36">
        <f>G50*0.0654696737464419</f>
        <v>0</v>
      </c>
      <c r="AP50" s="36">
        <f>G50*(1-0.0654696737464419)</f>
        <v>0</v>
      </c>
      <c r="AQ50" s="32" t="s">
        <v>13</v>
      </c>
      <c r="AV50" s="36">
        <f>AW50+AX50</f>
        <v>0</v>
      </c>
      <c r="AW50" s="36">
        <f>F50*AO50</f>
        <v>0</v>
      </c>
      <c r="AX50" s="36">
        <f>F50*AP50</f>
        <v>0</v>
      </c>
      <c r="AY50" s="37" t="s">
        <v>210</v>
      </c>
      <c r="AZ50" s="37" t="s">
        <v>215</v>
      </c>
      <c r="BA50" s="29" t="s">
        <v>217</v>
      </c>
      <c r="BC50" s="36">
        <f>AW50+AX50</f>
        <v>0</v>
      </c>
      <c r="BD50" s="36">
        <f>G50/(100-BE50)*100</f>
        <v>0</v>
      </c>
      <c r="BE50" s="36">
        <v>0</v>
      </c>
      <c r="BF50" s="36">
        <f>L50</f>
        <v>0</v>
      </c>
      <c r="BH50" s="19">
        <f>F50*AO50</f>
        <v>0</v>
      </c>
      <c r="BI50" s="19">
        <f>F50*AP50</f>
        <v>0</v>
      </c>
      <c r="BJ50" s="19">
        <f>F50*G50</f>
        <v>0</v>
      </c>
    </row>
    <row r="51" spans="4:6" ht="12.75">
      <c r="D51" s="15" t="s">
        <v>131</v>
      </c>
      <c r="F51" s="20">
        <v>3</v>
      </c>
    </row>
    <row r="52" spans="1:62" ht="12.75">
      <c r="A52" s="6" t="s">
        <v>25</v>
      </c>
      <c r="B52" s="6"/>
      <c r="C52" s="6" t="s">
        <v>74</v>
      </c>
      <c r="D52" s="6" t="s">
        <v>132</v>
      </c>
      <c r="E52" s="6" t="s">
        <v>173</v>
      </c>
      <c r="F52" s="21">
        <v>2</v>
      </c>
      <c r="G52" s="117"/>
      <c r="H52" s="21">
        <f>F52*AO52</f>
        <v>0</v>
      </c>
      <c r="I52" s="21">
        <f>F52*AP52</f>
        <v>0</v>
      </c>
      <c r="J52" s="21">
        <f>F52*G52</f>
        <v>0</v>
      </c>
      <c r="K52" s="21">
        <v>0.00019</v>
      </c>
      <c r="L52" s="21">
        <f>F52*K52</f>
        <v>0.00038</v>
      </c>
      <c r="M52" s="33" t="s">
        <v>197</v>
      </c>
      <c r="Z52" s="36">
        <f>IF(AQ52="5",BJ52,0)</f>
        <v>0</v>
      </c>
      <c r="AB52" s="36">
        <f>IF(AQ52="1",BH52,0)</f>
        <v>0</v>
      </c>
      <c r="AC52" s="36">
        <f>IF(AQ52="1",BI52,0)</f>
        <v>0</v>
      </c>
      <c r="AD52" s="36">
        <f>IF(AQ52="7",BH52,0)</f>
        <v>0</v>
      </c>
      <c r="AE52" s="36">
        <f>IF(AQ52="7",BI52,0)</f>
        <v>0</v>
      </c>
      <c r="AF52" s="36">
        <f>IF(AQ52="2",BH52,0)</f>
        <v>0</v>
      </c>
      <c r="AG52" s="36">
        <f>IF(AQ52="2",BI52,0)</f>
        <v>0</v>
      </c>
      <c r="AH52" s="36">
        <f>IF(AQ52="0",BJ52,0)</f>
        <v>0</v>
      </c>
      <c r="AI52" s="29"/>
      <c r="AJ52" s="21">
        <f>IF(AN52=0,J52,0)</f>
        <v>0</v>
      </c>
      <c r="AK52" s="21">
        <f>IF(AN52=15,J52,0)</f>
        <v>0</v>
      </c>
      <c r="AL52" s="21">
        <f>IF(AN52=21,J52,0)</f>
        <v>0</v>
      </c>
      <c r="AN52" s="36">
        <v>21</v>
      </c>
      <c r="AO52" s="36">
        <f>G52*1</f>
        <v>0</v>
      </c>
      <c r="AP52" s="36">
        <f>G52*(1-1)</f>
        <v>0</v>
      </c>
      <c r="AQ52" s="33" t="s">
        <v>13</v>
      </c>
      <c r="AV52" s="36">
        <f>AW52+AX52</f>
        <v>0</v>
      </c>
      <c r="AW52" s="36">
        <f>F52*AO52</f>
        <v>0</v>
      </c>
      <c r="AX52" s="36">
        <f>F52*AP52</f>
        <v>0</v>
      </c>
      <c r="AY52" s="37" t="s">
        <v>210</v>
      </c>
      <c r="AZ52" s="37" t="s">
        <v>215</v>
      </c>
      <c r="BA52" s="29" t="s">
        <v>217</v>
      </c>
      <c r="BC52" s="36">
        <f>AW52+AX52</f>
        <v>0</v>
      </c>
      <c r="BD52" s="36">
        <f>G52/(100-BE52)*100</f>
        <v>0</v>
      </c>
      <c r="BE52" s="36">
        <v>0</v>
      </c>
      <c r="BF52" s="36">
        <f>L52</f>
        <v>0.00038</v>
      </c>
      <c r="BH52" s="21">
        <f>F52*AO52</f>
        <v>0</v>
      </c>
      <c r="BI52" s="21">
        <f>F52*AP52</f>
        <v>0</v>
      </c>
      <c r="BJ52" s="21">
        <f>F52*G52</f>
        <v>0</v>
      </c>
    </row>
    <row r="53" spans="4:6" ht="12.75">
      <c r="D53" s="15" t="s">
        <v>128</v>
      </c>
      <c r="F53" s="20">
        <v>2</v>
      </c>
    </row>
    <row r="54" spans="1:62" ht="12.75">
      <c r="A54" s="6" t="s">
        <v>26</v>
      </c>
      <c r="B54" s="6"/>
      <c r="C54" s="6" t="s">
        <v>75</v>
      </c>
      <c r="D54" s="6" t="s">
        <v>133</v>
      </c>
      <c r="E54" s="6" t="s">
        <v>173</v>
      </c>
      <c r="F54" s="21">
        <v>1</v>
      </c>
      <c r="G54" s="117"/>
      <c r="H54" s="21">
        <f>F54*AO54</f>
        <v>0</v>
      </c>
      <c r="I54" s="21">
        <f>F54*AP54</f>
        <v>0</v>
      </c>
      <c r="J54" s="21">
        <f>F54*G54</f>
        <v>0</v>
      </c>
      <c r="K54" s="21">
        <v>0.00213</v>
      </c>
      <c r="L54" s="21">
        <f>F54*K54</f>
        <v>0.00213</v>
      </c>
      <c r="M54" s="33" t="s">
        <v>197</v>
      </c>
      <c r="Z54" s="36">
        <f>IF(AQ54="5",BJ54,0)</f>
        <v>0</v>
      </c>
      <c r="AB54" s="36">
        <f>IF(AQ54="1",BH54,0)</f>
        <v>0</v>
      </c>
      <c r="AC54" s="36">
        <f>IF(AQ54="1",BI54,0)</f>
        <v>0</v>
      </c>
      <c r="AD54" s="36">
        <f>IF(AQ54="7",BH54,0)</f>
        <v>0</v>
      </c>
      <c r="AE54" s="36">
        <f>IF(AQ54="7",BI54,0)</f>
        <v>0</v>
      </c>
      <c r="AF54" s="36">
        <f>IF(AQ54="2",BH54,0)</f>
        <v>0</v>
      </c>
      <c r="AG54" s="36">
        <f>IF(AQ54="2",BI54,0)</f>
        <v>0</v>
      </c>
      <c r="AH54" s="36">
        <f>IF(AQ54="0",BJ54,0)</f>
        <v>0</v>
      </c>
      <c r="AI54" s="29"/>
      <c r="AJ54" s="21">
        <f>IF(AN54=0,J54,0)</f>
        <v>0</v>
      </c>
      <c r="AK54" s="21">
        <f>IF(AN54=15,J54,0)</f>
        <v>0</v>
      </c>
      <c r="AL54" s="21">
        <f>IF(AN54=21,J54,0)</f>
        <v>0</v>
      </c>
      <c r="AN54" s="36">
        <v>21</v>
      </c>
      <c r="AO54" s="36">
        <f>G54*1</f>
        <v>0</v>
      </c>
      <c r="AP54" s="36">
        <f>G54*(1-1)</f>
        <v>0</v>
      </c>
      <c r="AQ54" s="33" t="s">
        <v>13</v>
      </c>
      <c r="AV54" s="36">
        <f>AW54+AX54</f>
        <v>0</v>
      </c>
      <c r="AW54" s="36">
        <f>F54*AO54</f>
        <v>0</v>
      </c>
      <c r="AX54" s="36">
        <f>F54*AP54</f>
        <v>0</v>
      </c>
      <c r="AY54" s="37" t="s">
        <v>210</v>
      </c>
      <c r="AZ54" s="37" t="s">
        <v>215</v>
      </c>
      <c r="BA54" s="29" t="s">
        <v>217</v>
      </c>
      <c r="BC54" s="36">
        <f>AW54+AX54</f>
        <v>0</v>
      </c>
      <c r="BD54" s="36">
        <f>G54/(100-BE54)*100</f>
        <v>0</v>
      </c>
      <c r="BE54" s="36">
        <v>0</v>
      </c>
      <c r="BF54" s="36">
        <f>L54</f>
        <v>0.00213</v>
      </c>
      <c r="BH54" s="21">
        <f>F54*AO54</f>
        <v>0</v>
      </c>
      <c r="BI54" s="21">
        <f>F54*AP54</f>
        <v>0</v>
      </c>
      <c r="BJ54" s="21">
        <f>F54*G54</f>
        <v>0</v>
      </c>
    </row>
    <row r="55" spans="4:6" ht="12.75">
      <c r="D55" s="15" t="s">
        <v>124</v>
      </c>
      <c r="F55" s="20">
        <v>1</v>
      </c>
    </row>
    <row r="56" spans="1:62" ht="12.75">
      <c r="A56" s="6" t="s">
        <v>27</v>
      </c>
      <c r="B56" s="6"/>
      <c r="C56" s="6" t="s">
        <v>76</v>
      </c>
      <c r="D56" s="6" t="s">
        <v>134</v>
      </c>
      <c r="E56" s="6" t="s">
        <v>173</v>
      </c>
      <c r="F56" s="21">
        <v>1</v>
      </c>
      <c r="G56" s="117"/>
      <c r="H56" s="21">
        <f>F56*AO56</f>
        <v>0</v>
      </c>
      <c r="I56" s="21">
        <f>F56*AP56</f>
        <v>0</v>
      </c>
      <c r="J56" s="21">
        <f>F56*G56</f>
        <v>0</v>
      </c>
      <c r="K56" s="21">
        <v>0.0005</v>
      </c>
      <c r="L56" s="21">
        <f>F56*K56</f>
        <v>0.0005</v>
      </c>
      <c r="M56" s="33" t="s">
        <v>197</v>
      </c>
      <c r="Z56" s="36">
        <f>IF(AQ56="5",BJ56,0)</f>
        <v>0</v>
      </c>
      <c r="AB56" s="36">
        <f>IF(AQ56="1",BH56,0)</f>
        <v>0</v>
      </c>
      <c r="AC56" s="36">
        <f>IF(AQ56="1",BI56,0)</f>
        <v>0</v>
      </c>
      <c r="AD56" s="36">
        <f>IF(AQ56="7",BH56,0)</f>
        <v>0</v>
      </c>
      <c r="AE56" s="36">
        <f>IF(AQ56="7",BI56,0)</f>
        <v>0</v>
      </c>
      <c r="AF56" s="36">
        <f>IF(AQ56="2",BH56,0)</f>
        <v>0</v>
      </c>
      <c r="AG56" s="36">
        <f>IF(AQ56="2",BI56,0)</f>
        <v>0</v>
      </c>
      <c r="AH56" s="36">
        <f>IF(AQ56="0",BJ56,0)</f>
        <v>0</v>
      </c>
      <c r="AI56" s="29"/>
      <c r="AJ56" s="21">
        <f>IF(AN56=0,J56,0)</f>
        <v>0</v>
      </c>
      <c r="AK56" s="21">
        <f>IF(AN56=15,J56,0)</f>
        <v>0</v>
      </c>
      <c r="AL56" s="21">
        <f>IF(AN56=21,J56,0)</f>
        <v>0</v>
      </c>
      <c r="AN56" s="36">
        <v>21</v>
      </c>
      <c r="AO56" s="36">
        <f>G56*1</f>
        <v>0</v>
      </c>
      <c r="AP56" s="36">
        <f>G56*(1-1)</f>
        <v>0</v>
      </c>
      <c r="AQ56" s="33" t="s">
        <v>13</v>
      </c>
      <c r="AV56" s="36">
        <f>AW56+AX56</f>
        <v>0</v>
      </c>
      <c r="AW56" s="36">
        <f>F56*AO56</f>
        <v>0</v>
      </c>
      <c r="AX56" s="36">
        <f>F56*AP56</f>
        <v>0</v>
      </c>
      <c r="AY56" s="37" t="s">
        <v>210</v>
      </c>
      <c r="AZ56" s="37" t="s">
        <v>215</v>
      </c>
      <c r="BA56" s="29" t="s">
        <v>217</v>
      </c>
      <c r="BC56" s="36">
        <f>AW56+AX56</f>
        <v>0</v>
      </c>
      <c r="BD56" s="36">
        <f>G56/(100-BE56)*100</f>
        <v>0</v>
      </c>
      <c r="BE56" s="36">
        <v>0</v>
      </c>
      <c r="BF56" s="36">
        <f>L56</f>
        <v>0.0005</v>
      </c>
      <c r="BH56" s="21">
        <f>F56*AO56</f>
        <v>0</v>
      </c>
      <c r="BI56" s="21">
        <f>F56*AP56</f>
        <v>0</v>
      </c>
      <c r="BJ56" s="21">
        <f>F56*G56</f>
        <v>0</v>
      </c>
    </row>
    <row r="57" spans="4:6" ht="12.75">
      <c r="D57" s="15" t="s">
        <v>135</v>
      </c>
      <c r="F57" s="20">
        <v>1</v>
      </c>
    </row>
    <row r="58" spans="1:47" ht="12.75">
      <c r="A58" s="5"/>
      <c r="B58" s="13"/>
      <c r="C58" s="13" t="s">
        <v>77</v>
      </c>
      <c r="D58" s="13" t="s">
        <v>136</v>
      </c>
      <c r="E58" s="5" t="s">
        <v>6</v>
      </c>
      <c r="F58" s="5" t="s">
        <v>6</v>
      </c>
      <c r="G58" s="5" t="s">
        <v>6</v>
      </c>
      <c r="H58" s="39">
        <f>SUM(H59:H93)</f>
        <v>0</v>
      </c>
      <c r="I58" s="39">
        <f>SUM(I59:I93)</f>
        <v>0</v>
      </c>
      <c r="J58" s="39">
        <f>SUM(J59:J93)</f>
        <v>0</v>
      </c>
      <c r="K58" s="29"/>
      <c r="L58" s="39">
        <f>SUM(L59:L93)</f>
        <v>0.7332899999999999</v>
      </c>
      <c r="M58" s="29"/>
      <c r="AI58" s="29"/>
      <c r="AS58" s="39">
        <f>SUM(AJ59:AJ93)</f>
        <v>0</v>
      </c>
      <c r="AT58" s="39">
        <f>SUM(AK59:AK93)</f>
        <v>0</v>
      </c>
      <c r="AU58" s="39">
        <f>SUM(AL59:AL93)</f>
        <v>0</v>
      </c>
    </row>
    <row r="59" spans="1:62" ht="12.75">
      <c r="A59" s="4" t="s">
        <v>28</v>
      </c>
      <c r="B59" s="4"/>
      <c r="C59" s="4" t="s">
        <v>78</v>
      </c>
      <c r="D59" s="4" t="s">
        <v>137</v>
      </c>
      <c r="E59" s="4" t="s">
        <v>173</v>
      </c>
      <c r="F59" s="19">
        <v>1</v>
      </c>
      <c r="G59" s="116"/>
      <c r="H59" s="19">
        <f>F59*AO59</f>
        <v>0</v>
      </c>
      <c r="I59" s="19">
        <f>F59*AP59</f>
        <v>0</v>
      </c>
      <c r="J59" s="19">
        <f>F59*G59</f>
        <v>0</v>
      </c>
      <c r="K59" s="19">
        <v>0.00497</v>
      </c>
      <c r="L59" s="19">
        <f>F59*K59</f>
        <v>0.00497</v>
      </c>
      <c r="M59" s="32" t="s">
        <v>197</v>
      </c>
      <c r="Z59" s="36">
        <f>IF(AQ59="5",BJ59,0)</f>
        <v>0</v>
      </c>
      <c r="AB59" s="36">
        <f>IF(AQ59="1",BH59,0)</f>
        <v>0</v>
      </c>
      <c r="AC59" s="36">
        <f>IF(AQ59="1",BI59,0)</f>
        <v>0</v>
      </c>
      <c r="AD59" s="36">
        <f>IF(AQ59="7",BH59,0)</f>
        <v>0</v>
      </c>
      <c r="AE59" s="36">
        <f>IF(AQ59="7",BI59,0)</f>
        <v>0</v>
      </c>
      <c r="AF59" s="36">
        <f>IF(AQ59="2",BH59,0)</f>
        <v>0</v>
      </c>
      <c r="AG59" s="36">
        <f>IF(AQ59="2",BI59,0)</f>
        <v>0</v>
      </c>
      <c r="AH59" s="36">
        <f>IF(AQ59="0",BJ59,0)</f>
        <v>0</v>
      </c>
      <c r="AI59" s="29"/>
      <c r="AJ59" s="19">
        <f>IF(AN59=0,J59,0)</f>
        <v>0</v>
      </c>
      <c r="AK59" s="19">
        <f>IF(AN59=15,J59,0)</f>
        <v>0</v>
      </c>
      <c r="AL59" s="19">
        <f>IF(AN59=21,J59,0)</f>
        <v>0</v>
      </c>
      <c r="AN59" s="36">
        <v>21</v>
      </c>
      <c r="AO59" s="36">
        <f>G59*0.898316900100761</f>
        <v>0</v>
      </c>
      <c r="AP59" s="36">
        <f>G59*(1-0.898316900100761)</f>
        <v>0</v>
      </c>
      <c r="AQ59" s="32" t="s">
        <v>13</v>
      </c>
      <c r="AV59" s="36">
        <f>AW59+AX59</f>
        <v>0</v>
      </c>
      <c r="AW59" s="36">
        <f>F59*AO59</f>
        <v>0</v>
      </c>
      <c r="AX59" s="36">
        <f>F59*AP59</f>
        <v>0</v>
      </c>
      <c r="AY59" s="37" t="s">
        <v>211</v>
      </c>
      <c r="AZ59" s="37" t="s">
        <v>215</v>
      </c>
      <c r="BA59" s="29" t="s">
        <v>217</v>
      </c>
      <c r="BC59" s="36">
        <f>AW59+AX59</f>
        <v>0</v>
      </c>
      <c r="BD59" s="36">
        <f>G59/(100-BE59)*100</f>
        <v>0</v>
      </c>
      <c r="BE59" s="36">
        <v>0</v>
      </c>
      <c r="BF59" s="36">
        <f>L59</f>
        <v>0.00497</v>
      </c>
      <c r="BH59" s="19">
        <f>F59*AO59</f>
        <v>0</v>
      </c>
      <c r="BI59" s="19">
        <f>F59*AP59</f>
        <v>0</v>
      </c>
      <c r="BJ59" s="19">
        <f>F59*G59</f>
        <v>0</v>
      </c>
    </row>
    <row r="60" spans="4:6" ht="12.75">
      <c r="D60" s="15" t="s">
        <v>124</v>
      </c>
      <c r="F60" s="20">
        <v>1</v>
      </c>
    </row>
    <row r="61" spans="1:62" ht="12.75">
      <c r="A61" s="4" t="s">
        <v>29</v>
      </c>
      <c r="B61" s="4"/>
      <c r="C61" s="4" t="s">
        <v>79</v>
      </c>
      <c r="D61" s="4" t="s">
        <v>138</v>
      </c>
      <c r="E61" s="4" t="s">
        <v>173</v>
      </c>
      <c r="F61" s="19">
        <v>4</v>
      </c>
      <c r="G61" s="116"/>
      <c r="H61" s="19">
        <f>F61*AO61</f>
        <v>0</v>
      </c>
      <c r="I61" s="19">
        <f>F61*AP61</f>
        <v>0</v>
      </c>
      <c r="J61" s="19">
        <f>F61*G61</f>
        <v>0</v>
      </c>
      <c r="K61" s="19">
        <v>0.00864</v>
      </c>
      <c r="L61" s="19">
        <f>F61*K61</f>
        <v>0.03456</v>
      </c>
      <c r="M61" s="32" t="s">
        <v>197</v>
      </c>
      <c r="Z61" s="36">
        <f>IF(AQ61="5",BJ61,0)</f>
        <v>0</v>
      </c>
      <c r="AB61" s="36">
        <f>IF(AQ61="1",BH61,0)</f>
        <v>0</v>
      </c>
      <c r="AC61" s="36">
        <f>IF(AQ61="1",BI61,0)</f>
        <v>0</v>
      </c>
      <c r="AD61" s="36">
        <f>IF(AQ61="7",BH61,0)</f>
        <v>0</v>
      </c>
      <c r="AE61" s="36">
        <f>IF(AQ61="7",BI61,0)</f>
        <v>0</v>
      </c>
      <c r="AF61" s="36">
        <f>IF(AQ61="2",BH61,0)</f>
        <v>0</v>
      </c>
      <c r="AG61" s="36">
        <f>IF(AQ61="2",BI61,0)</f>
        <v>0</v>
      </c>
      <c r="AH61" s="36">
        <f>IF(AQ61="0",BJ61,0)</f>
        <v>0</v>
      </c>
      <c r="AI61" s="29"/>
      <c r="AJ61" s="19">
        <f>IF(AN61=0,J61,0)</f>
        <v>0</v>
      </c>
      <c r="AK61" s="19">
        <f>IF(AN61=15,J61,0)</f>
        <v>0</v>
      </c>
      <c r="AL61" s="19">
        <f>IF(AN61=21,J61,0)</f>
        <v>0</v>
      </c>
      <c r="AN61" s="36">
        <v>21</v>
      </c>
      <c r="AO61" s="36">
        <f>G61*0.904289672522428</f>
        <v>0</v>
      </c>
      <c r="AP61" s="36">
        <f>G61*(1-0.904289672522428)</f>
        <v>0</v>
      </c>
      <c r="AQ61" s="32" t="s">
        <v>13</v>
      </c>
      <c r="AV61" s="36">
        <f>AW61+AX61</f>
        <v>0</v>
      </c>
      <c r="AW61" s="36">
        <f>F61*AO61</f>
        <v>0</v>
      </c>
      <c r="AX61" s="36">
        <f>F61*AP61</f>
        <v>0</v>
      </c>
      <c r="AY61" s="37" t="s">
        <v>211</v>
      </c>
      <c r="AZ61" s="37" t="s">
        <v>215</v>
      </c>
      <c r="BA61" s="29" t="s">
        <v>217</v>
      </c>
      <c r="BC61" s="36">
        <f>AW61+AX61</f>
        <v>0</v>
      </c>
      <c r="BD61" s="36">
        <f>G61/(100-BE61)*100</f>
        <v>0</v>
      </c>
      <c r="BE61" s="36">
        <v>0</v>
      </c>
      <c r="BF61" s="36">
        <f>L61</f>
        <v>0.03456</v>
      </c>
      <c r="BH61" s="19">
        <f>F61*AO61</f>
        <v>0</v>
      </c>
      <c r="BI61" s="19">
        <f>F61*AP61</f>
        <v>0</v>
      </c>
      <c r="BJ61" s="19">
        <f>F61*G61</f>
        <v>0</v>
      </c>
    </row>
    <row r="62" spans="4:6" ht="12.75">
      <c r="D62" s="15" t="s">
        <v>147</v>
      </c>
      <c r="F62" s="20">
        <v>4</v>
      </c>
    </row>
    <row r="63" spans="1:62" ht="12.75">
      <c r="A63" s="4" t="s">
        <v>30</v>
      </c>
      <c r="B63" s="4"/>
      <c r="C63" s="4" t="s">
        <v>80</v>
      </c>
      <c r="D63" s="4" t="s">
        <v>139</v>
      </c>
      <c r="E63" s="4" t="s">
        <v>173</v>
      </c>
      <c r="F63" s="19">
        <v>3</v>
      </c>
      <c r="G63" s="116"/>
      <c r="H63" s="19">
        <f>F63*AO63</f>
        <v>0</v>
      </c>
      <c r="I63" s="19">
        <f>F63*AP63</f>
        <v>0</v>
      </c>
      <c r="J63" s="19">
        <f>F63*G63</f>
        <v>0</v>
      </c>
      <c r="K63" s="19">
        <v>0.01525</v>
      </c>
      <c r="L63" s="19">
        <f>F63*K63</f>
        <v>0.04575</v>
      </c>
      <c r="M63" s="32" t="s">
        <v>197</v>
      </c>
      <c r="Z63" s="36">
        <f>IF(AQ63="5",BJ63,0)</f>
        <v>0</v>
      </c>
      <c r="AB63" s="36">
        <f>IF(AQ63="1",BH63,0)</f>
        <v>0</v>
      </c>
      <c r="AC63" s="36">
        <f>IF(AQ63="1",BI63,0)</f>
        <v>0</v>
      </c>
      <c r="AD63" s="36">
        <f>IF(AQ63="7",BH63,0)</f>
        <v>0</v>
      </c>
      <c r="AE63" s="36">
        <f>IF(AQ63="7",BI63,0)</f>
        <v>0</v>
      </c>
      <c r="AF63" s="36">
        <f>IF(AQ63="2",BH63,0)</f>
        <v>0</v>
      </c>
      <c r="AG63" s="36">
        <f>IF(AQ63="2",BI63,0)</f>
        <v>0</v>
      </c>
      <c r="AH63" s="36">
        <f>IF(AQ63="0",BJ63,0)</f>
        <v>0</v>
      </c>
      <c r="AI63" s="29"/>
      <c r="AJ63" s="19">
        <f>IF(AN63=0,J63,0)</f>
        <v>0</v>
      </c>
      <c r="AK63" s="19">
        <f>IF(AN63=15,J63,0)</f>
        <v>0</v>
      </c>
      <c r="AL63" s="19">
        <f>IF(AN63=21,J63,0)</f>
        <v>0</v>
      </c>
      <c r="AN63" s="36">
        <v>21</v>
      </c>
      <c r="AO63" s="36">
        <f>G63*0.918946308724832</f>
        <v>0</v>
      </c>
      <c r="AP63" s="36">
        <f>G63*(1-0.918946308724832)</f>
        <v>0</v>
      </c>
      <c r="AQ63" s="32" t="s">
        <v>13</v>
      </c>
      <c r="AV63" s="36">
        <f>AW63+AX63</f>
        <v>0</v>
      </c>
      <c r="AW63" s="36">
        <f>F63*AO63</f>
        <v>0</v>
      </c>
      <c r="AX63" s="36">
        <f>F63*AP63</f>
        <v>0</v>
      </c>
      <c r="AY63" s="37" t="s">
        <v>211</v>
      </c>
      <c r="AZ63" s="37" t="s">
        <v>215</v>
      </c>
      <c r="BA63" s="29" t="s">
        <v>217</v>
      </c>
      <c r="BC63" s="36">
        <f>AW63+AX63</f>
        <v>0</v>
      </c>
      <c r="BD63" s="36">
        <f>G63/(100-BE63)*100</f>
        <v>0</v>
      </c>
      <c r="BE63" s="36">
        <v>0</v>
      </c>
      <c r="BF63" s="36">
        <f>L63</f>
        <v>0.04575</v>
      </c>
      <c r="BH63" s="19">
        <f>F63*AO63</f>
        <v>0</v>
      </c>
      <c r="BI63" s="19">
        <f>F63*AP63</f>
        <v>0</v>
      </c>
      <c r="BJ63" s="19">
        <f>F63*G63</f>
        <v>0</v>
      </c>
    </row>
    <row r="64" spans="4:6" ht="12.75">
      <c r="D64" s="15" t="s">
        <v>140</v>
      </c>
      <c r="F64" s="20">
        <v>3</v>
      </c>
    </row>
    <row r="65" spans="1:62" ht="12.75">
      <c r="A65" s="4" t="s">
        <v>31</v>
      </c>
      <c r="B65" s="4"/>
      <c r="C65" s="4" t="s">
        <v>81</v>
      </c>
      <c r="D65" s="4" t="s">
        <v>141</v>
      </c>
      <c r="E65" s="4" t="s">
        <v>173</v>
      </c>
      <c r="F65" s="19">
        <v>1</v>
      </c>
      <c r="G65" s="116"/>
      <c r="H65" s="19">
        <f>F65*AO65</f>
        <v>0</v>
      </c>
      <c r="I65" s="19">
        <f>F65*AP65</f>
        <v>0</v>
      </c>
      <c r="J65" s="19">
        <f>F65*G65</f>
        <v>0</v>
      </c>
      <c r="K65" s="19">
        <v>0.03993</v>
      </c>
      <c r="L65" s="19">
        <f>F65*K65</f>
        <v>0.03993</v>
      </c>
      <c r="M65" s="32" t="s">
        <v>197</v>
      </c>
      <c r="Z65" s="36">
        <f>IF(AQ65="5",BJ65,0)</f>
        <v>0</v>
      </c>
      <c r="AB65" s="36">
        <f>IF(AQ65="1",BH65,0)</f>
        <v>0</v>
      </c>
      <c r="AC65" s="36">
        <f>IF(AQ65="1",BI65,0)</f>
        <v>0</v>
      </c>
      <c r="AD65" s="36">
        <f>IF(AQ65="7",BH65,0)</f>
        <v>0</v>
      </c>
      <c r="AE65" s="36">
        <f>IF(AQ65="7",BI65,0)</f>
        <v>0</v>
      </c>
      <c r="AF65" s="36">
        <f>IF(AQ65="2",BH65,0)</f>
        <v>0</v>
      </c>
      <c r="AG65" s="36">
        <f>IF(AQ65="2",BI65,0)</f>
        <v>0</v>
      </c>
      <c r="AH65" s="36">
        <f>IF(AQ65="0",BJ65,0)</f>
        <v>0</v>
      </c>
      <c r="AI65" s="29"/>
      <c r="AJ65" s="19">
        <f>IF(AN65=0,J65,0)</f>
        <v>0</v>
      </c>
      <c r="AK65" s="19">
        <f>IF(AN65=15,J65,0)</f>
        <v>0</v>
      </c>
      <c r="AL65" s="19">
        <f>IF(AN65=21,J65,0)</f>
        <v>0</v>
      </c>
      <c r="AN65" s="36">
        <v>21</v>
      </c>
      <c r="AO65" s="36">
        <f>G65*0.94198485995458</f>
        <v>0</v>
      </c>
      <c r="AP65" s="36">
        <f>G65*(1-0.94198485995458)</f>
        <v>0</v>
      </c>
      <c r="AQ65" s="32" t="s">
        <v>13</v>
      </c>
      <c r="AV65" s="36">
        <f>AW65+AX65</f>
        <v>0</v>
      </c>
      <c r="AW65" s="36">
        <f>F65*AO65</f>
        <v>0</v>
      </c>
      <c r="AX65" s="36">
        <f>F65*AP65</f>
        <v>0</v>
      </c>
      <c r="AY65" s="37" t="s">
        <v>211</v>
      </c>
      <c r="AZ65" s="37" t="s">
        <v>215</v>
      </c>
      <c r="BA65" s="29" t="s">
        <v>217</v>
      </c>
      <c r="BC65" s="36">
        <f>AW65+AX65</f>
        <v>0</v>
      </c>
      <c r="BD65" s="36">
        <f>G65/(100-BE65)*100</f>
        <v>0</v>
      </c>
      <c r="BE65" s="36">
        <v>0</v>
      </c>
      <c r="BF65" s="36">
        <f>L65</f>
        <v>0.03993</v>
      </c>
      <c r="BH65" s="19">
        <f>F65*AO65</f>
        <v>0</v>
      </c>
      <c r="BI65" s="19">
        <f>F65*AP65</f>
        <v>0</v>
      </c>
      <c r="BJ65" s="19">
        <f>F65*G65</f>
        <v>0</v>
      </c>
    </row>
    <row r="66" spans="4:6" ht="12.75">
      <c r="D66" s="15" t="s">
        <v>124</v>
      </c>
      <c r="F66" s="20">
        <v>1</v>
      </c>
    </row>
    <row r="67" spans="1:62" ht="12.75">
      <c r="A67" s="4" t="s">
        <v>276</v>
      </c>
      <c r="B67" s="4"/>
      <c r="C67" s="4" t="s">
        <v>82</v>
      </c>
      <c r="D67" s="4" t="s">
        <v>142</v>
      </c>
      <c r="E67" s="4" t="s">
        <v>173</v>
      </c>
      <c r="F67" s="19">
        <v>1</v>
      </c>
      <c r="G67" s="116"/>
      <c r="H67" s="19">
        <f>F67*AO67</f>
        <v>0</v>
      </c>
      <c r="I67" s="19">
        <f>F67*AP67</f>
        <v>0</v>
      </c>
      <c r="J67" s="19">
        <f>F67*G67</f>
        <v>0</v>
      </c>
      <c r="K67" s="19">
        <v>0.02178</v>
      </c>
      <c r="L67" s="19">
        <f>F67*K67</f>
        <v>0.02178</v>
      </c>
      <c r="M67" s="32" t="s">
        <v>197</v>
      </c>
      <c r="Z67" s="36">
        <f>IF(AQ67="5",BJ67,0)</f>
        <v>0</v>
      </c>
      <c r="AB67" s="36">
        <f>IF(AQ67="1",BH67,0)</f>
        <v>0</v>
      </c>
      <c r="AC67" s="36">
        <f>IF(AQ67="1",BI67,0)</f>
        <v>0</v>
      </c>
      <c r="AD67" s="36">
        <f>IF(AQ67="7",BH67,0)</f>
        <v>0</v>
      </c>
      <c r="AE67" s="36">
        <f>IF(AQ67="7",BI67,0)</f>
        <v>0</v>
      </c>
      <c r="AF67" s="36">
        <f>IF(AQ67="2",BH67,0)</f>
        <v>0</v>
      </c>
      <c r="AG67" s="36">
        <f>IF(AQ67="2",BI67,0)</f>
        <v>0</v>
      </c>
      <c r="AH67" s="36">
        <f>IF(AQ67="0",BJ67,0)</f>
        <v>0</v>
      </c>
      <c r="AI67" s="29"/>
      <c r="AJ67" s="19">
        <f>IF(AN67=0,J67,0)</f>
        <v>0</v>
      </c>
      <c r="AK67" s="19">
        <f>IF(AN67=15,J67,0)</f>
        <v>0</v>
      </c>
      <c r="AL67" s="19">
        <f>IF(AN67=21,J67,0)</f>
        <v>0</v>
      </c>
      <c r="AN67" s="36">
        <v>21</v>
      </c>
      <c r="AO67" s="36">
        <f>G67*0.927735812133072</f>
        <v>0</v>
      </c>
      <c r="AP67" s="36">
        <f>G67*(1-0.927735812133072)</f>
        <v>0</v>
      </c>
      <c r="AQ67" s="32" t="s">
        <v>13</v>
      </c>
      <c r="AV67" s="36">
        <f>AW67+AX67</f>
        <v>0</v>
      </c>
      <c r="AW67" s="36">
        <f>F67*AO67</f>
        <v>0</v>
      </c>
      <c r="AX67" s="36">
        <f>F67*AP67</f>
        <v>0</v>
      </c>
      <c r="AY67" s="37" t="s">
        <v>211</v>
      </c>
      <c r="AZ67" s="37" t="s">
        <v>215</v>
      </c>
      <c r="BA67" s="29" t="s">
        <v>217</v>
      </c>
      <c r="BC67" s="36">
        <f>AW67+AX67</f>
        <v>0</v>
      </c>
      <c r="BD67" s="36">
        <f>G67/(100-BE67)*100</f>
        <v>0</v>
      </c>
      <c r="BE67" s="36">
        <v>0</v>
      </c>
      <c r="BF67" s="36">
        <f>L67</f>
        <v>0.02178</v>
      </c>
      <c r="BH67" s="19">
        <f>F67*AO67</f>
        <v>0</v>
      </c>
      <c r="BI67" s="19">
        <f>F67*AP67</f>
        <v>0</v>
      </c>
      <c r="BJ67" s="19">
        <f>F67*G67</f>
        <v>0</v>
      </c>
    </row>
    <row r="68" spans="4:6" ht="12.75">
      <c r="D68" s="15" t="s">
        <v>124</v>
      </c>
      <c r="F68" s="20">
        <v>1</v>
      </c>
    </row>
    <row r="69" spans="1:62" ht="12.75">
      <c r="A69" s="4" t="s">
        <v>32</v>
      </c>
      <c r="B69" s="4"/>
      <c r="C69" s="4" t="s">
        <v>83</v>
      </c>
      <c r="D69" s="4" t="s">
        <v>143</v>
      </c>
      <c r="E69" s="4" t="s">
        <v>173</v>
      </c>
      <c r="F69" s="19">
        <v>3</v>
      </c>
      <c r="G69" s="116"/>
      <c r="H69" s="19">
        <f>F69*AO69</f>
        <v>0</v>
      </c>
      <c r="I69" s="19">
        <f>F69*AP69</f>
        <v>0</v>
      </c>
      <c r="J69" s="19">
        <f>F69*G69</f>
        <v>0</v>
      </c>
      <c r="K69" s="19">
        <v>0.02541</v>
      </c>
      <c r="L69" s="19">
        <f>F69*K69</f>
        <v>0.07622999999999999</v>
      </c>
      <c r="M69" s="32" t="s">
        <v>197</v>
      </c>
      <c r="Z69" s="36">
        <f>IF(AQ69="5",BJ69,0)</f>
        <v>0</v>
      </c>
      <c r="AB69" s="36">
        <f>IF(AQ69="1",BH69,0)</f>
        <v>0</v>
      </c>
      <c r="AC69" s="36">
        <f>IF(AQ69="1",BI69,0)</f>
        <v>0</v>
      </c>
      <c r="AD69" s="36">
        <f>IF(AQ69="7",BH69,0)</f>
        <v>0</v>
      </c>
      <c r="AE69" s="36">
        <f>IF(AQ69="7",BI69,0)</f>
        <v>0</v>
      </c>
      <c r="AF69" s="36">
        <f>IF(AQ69="2",BH69,0)</f>
        <v>0</v>
      </c>
      <c r="AG69" s="36">
        <f>IF(AQ69="2",BI69,0)</f>
        <v>0</v>
      </c>
      <c r="AH69" s="36">
        <f>IF(AQ69="0",BJ69,0)</f>
        <v>0</v>
      </c>
      <c r="AI69" s="29"/>
      <c r="AJ69" s="19">
        <f>IF(AN69=0,J69,0)</f>
        <v>0</v>
      </c>
      <c r="AK69" s="19">
        <f>IF(AN69=15,J69,0)</f>
        <v>0</v>
      </c>
      <c r="AL69" s="19">
        <f>IF(AN69=21,J69,0)</f>
        <v>0</v>
      </c>
      <c r="AN69" s="36">
        <v>21</v>
      </c>
      <c r="AO69" s="36">
        <f>G69*0.931679925994449</f>
        <v>0</v>
      </c>
      <c r="AP69" s="36">
        <f>G69*(1-0.931679925994449)</f>
        <v>0</v>
      </c>
      <c r="AQ69" s="32" t="s">
        <v>13</v>
      </c>
      <c r="AV69" s="36">
        <f>AW69+AX69</f>
        <v>0</v>
      </c>
      <c r="AW69" s="36">
        <f>F69*AO69</f>
        <v>0</v>
      </c>
      <c r="AX69" s="36">
        <f>F69*AP69</f>
        <v>0</v>
      </c>
      <c r="AY69" s="37" t="s">
        <v>211</v>
      </c>
      <c r="AZ69" s="37" t="s">
        <v>215</v>
      </c>
      <c r="BA69" s="29" t="s">
        <v>217</v>
      </c>
      <c r="BC69" s="36">
        <f>AW69+AX69</f>
        <v>0</v>
      </c>
      <c r="BD69" s="36">
        <f>G69/(100-BE69)*100</f>
        <v>0</v>
      </c>
      <c r="BE69" s="36">
        <v>0</v>
      </c>
      <c r="BF69" s="36">
        <f>L69</f>
        <v>0.07622999999999999</v>
      </c>
      <c r="BH69" s="19">
        <f>F69*AO69</f>
        <v>0</v>
      </c>
      <c r="BI69" s="19">
        <f>F69*AP69</f>
        <v>0</v>
      </c>
      <c r="BJ69" s="19">
        <f>F69*G69</f>
        <v>0</v>
      </c>
    </row>
    <row r="70" spans="4:6" ht="12.75">
      <c r="D70" s="15" t="s">
        <v>144</v>
      </c>
      <c r="F70" s="20">
        <v>3</v>
      </c>
    </row>
    <row r="71" spans="1:62" ht="12.75">
      <c r="A71" s="4" t="s">
        <v>33</v>
      </c>
      <c r="B71" s="4"/>
      <c r="C71" s="4" t="s">
        <v>84</v>
      </c>
      <c r="D71" s="4" t="s">
        <v>145</v>
      </c>
      <c r="E71" s="4" t="s">
        <v>173</v>
      </c>
      <c r="F71" s="19">
        <v>1</v>
      </c>
      <c r="G71" s="116"/>
      <c r="H71" s="19">
        <f>F71*AO71</f>
        <v>0</v>
      </c>
      <c r="I71" s="19">
        <f>F71*AP71</f>
        <v>0</v>
      </c>
      <c r="J71" s="19">
        <f>F71*G71</f>
        <v>0</v>
      </c>
      <c r="K71" s="19">
        <v>0.02904</v>
      </c>
      <c r="L71" s="19">
        <f>F71*K71</f>
        <v>0.02904</v>
      </c>
      <c r="M71" s="32" t="s">
        <v>197</v>
      </c>
      <c r="Z71" s="36">
        <f>IF(AQ71="5",BJ71,0)</f>
        <v>0</v>
      </c>
      <c r="AB71" s="36">
        <f>IF(AQ71="1",BH71,0)</f>
        <v>0</v>
      </c>
      <c r="AC71" s="36">
        <f>IF(AQ71="1",BI71,0)</f>
        <v>0</v>
      </c>
      <c r="AD71" s="36">
        <f>IF(AQ71="7",BH71,0)</f>
        <v>0</v>
      </c>
      <c r="AE71" s="36">
        <f>IF(AQ71="7",BI71,0)</f>
        <v>0</v>
      </c>
      <c r="AF71" s="36">
        <f>IF(AQ71="2",BH71,0)</f>
        <v>0</v>
      </c>
      <c r="AG71" s="36">
        <f>IF(AQ71="2",BI71,0)</f>
        <v>0</v>
      </c>
      <c r="AH71" s="36">
        <f>IF(AQ71="0",BJ71,0)</f>
        <v>0</v>
      </c>
      <c r="AI71" s="29"/>
      <c r="AJ71" s="19">
        <f>IF(AN71=0,J71,0)</f>
        <v>0</v>
      </c>
      <c r="AK71" s="19">
        <f>IF(AN71=15,J71,0)</f>
        <v>0</v>
      </c>
      <c r="AL71" s="19">
        <f>IF(AN71=21,J71,0)</f>
        <v>0</v>
      </c>
      <c r="AN71" s="36">
        <v>21</v>
      </c>
      <c r="AO71" s="36">
        <f>G71*0.934052585451358</f>
        <v>0</v>
      </c>
      <c r="AP71" s="36">
        <f>G71*(1-0.934052585451358)</f>
        <v>0</v>
      </c>
      <c r="AQ71" s="32" t="s">
        <v>13</v>
      </c>
      <c r="AV71" s="36">
        <f>AW71+AX71</f>
        <v>0</v>
      </c>
      <c r="AW71" s="36">
        <f>F71*AO71</f>
        <v>0</v>
      </c>
      <c r="AX71" s="36">
        <f>F71*AP71</f>
        <v>0</v>
      </c>
      <c r="AY71" s="37" t="s">
        <v>211</v>
      </c>
      <c r="AZ71" s="37" t="s">
        <v>215</v>
      </c>
      <c r="BA71" s="29" t="s">
        <v>217</v>
      </c>
      <c r="BC71" s="36">
        <f>AW71+AX71</f>
        <v>0</v>
      </c>
      <c r="BD71" s="36">
        <f>G71/(100-BE71)*100</f>
        <v>0</v>
      </c>
      <c r="BE71" s="36">
        <v>0</v>
      </c>
      <c r="BF71" s="36">
        <f>L71</f>
        <v>0.02904</v>
      </c>
      <c r="BH71" s="19">
        <f>F71*AO71</f>
        <v>0</v>
      </c>
      <c r="BI71" s="19">
        <f>F71*AP71</f>
        <v>0</v>
      </c>
      <c r="BJ71" s="19">
        <f>F71*G71</f>
        <v>0</v>
      </c>
    </row>
    <row r="72" spans="4:6" ht="12.75">
      <c r="D72" s="15" t="s">
        <v>124</v>
      </c>
      <c r="F72" s="20">
        <v>1</v>
      </c>
    </row>
    <row r="73" spans="1:62" ht="12.75">
      <c r="A73" s="4" t="s">
        <v>34</v>
      </c>
      <c r="B73" s="4"/>
      <c r="C73" s="4" t="s">
        <v>85</v>
      </c>
      <c r="D73" s="4" t="s">
        <v>146</v>
      </c>
      <c r="E73" s="4" t="s">
        <v>173</v>
      </c>
      <c r="F73" s="19">
        <v>4</v>
      </c>
      <c r="G73" s="116"/>
      <c r="H73" s="19">
        <f>F73*AO73</f>
        <v>0</v>
      </c>
      <c r="I73" s="19">
        <f>F73*AP73</f>
        <v>0</v>
      </c>
      <c r="J73" s="19">
        <f>F73*G73</f>
        <v>0</v>
      </c>
      <c r="K73" s="19">
        <v>0.0363</v>
      </c>
      <c r="L73" s="19">
        <f>F73*K73</f>
        <v>0.1452</v>
      </c>
      <c r="M73" s="32" t="s">
        <v>197</v>
      </c>
      <c r="Z73" s="36">
        <f>IF(AQ73="5",BJ73,0)</f>
        <v>0</v>
      </c>
      <c r="AB73" s="36">
        <f>IF(AQ73="1",BH73,0)</f>
        <v>0</v>
      </c>
      <c r="AC73" s="36">
        <f>IF(AQ73="1",BI73,0)</f>
        <v>0</v>
      </c>
      <c r="AD73" s="36">
        <f>IF(AQ73="7",BH73,0)</f>
        <v>0</v>
      </c>
      <c r="AE73" s="36">
        <f>IF(AQ73="7",BI73,0)</f>
        <v>0</v>
      </c>
      <c r="AF73" s="36">
        <f>IF(AQ73="2",BH73,0)</f>
        <v>0</v>
      </c>
      <c r="AG73" s="36">
        <f>IF(AQ73="2",BI73,0)</f>
        <v>0</v>
      </c>
      <c r="AH73" s="36">
        <f>IF(AQ73="0",BJ73,0)</f>
        <v>0</v>
      </c>
      <c r="AI73" s="29"/>
      <c r="AJ73" s="19">
        <f>IF(AN73=0,J73,0)</f>
        <v>0</v>
      </c>
      <c r="AK73" s="19">
        <f>IF(AN73=15,J73,0)</f>
        <v>0</v>
      </c>
      <c r="AL73" s="19">
        <f>IF(AN73=21,J73,0)</f>
        <v>0</v>
      </c>
      <c r="AN73" s="36">
        <v>21</v>
      </c>
      <c r="AO73" s="36">
        <f>G73*0.939776367961935</f>
        <v>0</v>
      </c>
      <c r="AP73" s="36">
        <f>G73*(1-0.939776367961935)</f>
        <v>0</v>
      </c>
      <c r="AQ73" s="32" t="s">
        <v>13</v>
      </c>
      <c r="AV73" s="36">
        <f>AW73+AX73</f>
        <v>0</v>
      </c>
      <c r="AW73" s="36">
        <f>F73*AO73</f>
        <v>0</v>
      </c>
      <c r="AX73" s="36">
        <f>F73*AP73</f>
        <v>0</v>
      </c>
      <c r="AY73" s="37" t="s">
        <v>211</v>
      </c>
      <c r="AZ73" s="37" t="s">
        <v>215</v>
      </c>
      <c r="BA73" s="29" t="s">
        <v>217</v>
      </c>
      <c r="BC73" s="36">
        <f>AW73+AX73</f>
        <v>0</v>
      </c>
      <c r="BD73" s="36">
        <f>G73/(100-BE73)*100</f>
        <v>0</v>
      </c>
      <c r="BE73" s="36">
        <v>0</v>
      </c>
      <c r="BF73" s="36">
        <f>L73</f>
        <v>0.1452</v>
      </c>
      <c r="BH73" s="19">
        <f>F73*AO73</f>
        <v>0</v>
      </c>
      <c r="BI73" s="19">
        <f>F73*AP73</f>
        <v>0</v>
      </c>
      <c r="BJ73" s="19">
        <f>F73*G73</f>
        <v>0</v>
      </c>
    </row>
    <row r="74" spans="4:6" ht="12.75">
      <c r="D74" s="15" t="s">
        <v>147</v>
      </c>
      <c r="F74" s="20">
        <v>4</v>
      </c>
    </row>
    <row r="75" spans="1:62" ht="12.75">
      <c r="A75" s="4" t="s">
        <v>35</v>
      </c>
      <c r="B75" s="4"/>
      <c r="C75" s="4" t="s">
        <v>86</v>
      </c>
      <c r="D75" s="4" t="s">
        <v>148</v>
      </c>
      <c r="E75" s="4" t="s">
        <v>173</v>
      </c>
      <c r="F75" s="19">
        <v>4</v>
      </c>
      <c r="G75" s="116"/>
      <c r="H75" s="19">
        <f>F75*AO75</f>
        <v>0</v>
      </c>
      <c r="I75" s="19">
        <f>F75*AP75</f>
        <v>0</v>
      </c>
      <c r="J75" s="19">
        <f>F75*G75</f>
        <v>0</v>
      </c>
      <c r="K75" s="19">
        <v>0.0551</v>
      </c>
      <c r="L75" s="19">
        <f>F75*K75</f>
        <v>0.2204</v>
      </c>
      <c r="M75" s="32" t="s">
        <v>197</v>
      </c>
      <c r="Z75" s="36">
        <f>IF(AQ75="5",BJ75,0)</f>
        <v>0</v>
      </c>
      <c r="AB75" s="36">
        <f>IF(AQ75="1",BH75,0)</f>
        <v>0</v>
      </c>
      <c r="AC75" s="36">
        <f>IF(AQ75="1",BI75,0)</f>
        <v>0</v>
      </c>
      <c r="AD75" s="36">
        <f>IF(AQ75="7",BH75,0)</f>
        <v>0</v>
      </c>
      <c r="AE75" s="36">
        <f>IF(AQ75="7",BI75,0)</f>
        <v>0</v>
      </c>
      <c r="AF75" s="36">
        <f>IF(AQ75="2",BH75,0)</f>
        <v>0</v>
      </c>
      <c r="AG75" s="36">
        <f>IF(AQ75="2",BI75,0)</f>
        <v>0</v>
      </c>
      <c r="AH75" s="36">
        <f>IF(AQ75="0",BJ75,0)</f>
        <v>0</v>
      </c>
      <c r="AI75" s="29"/>
      <c r="AJ75" s="19">
        <f>IF(AN75=0,J75,0)</f>
        <v>0</v>
      </c>
      <c r="AK75" s="19">
        <f>IF(AN75=15,J75,0)</f>
        <v>0</v>
      </c>
      <c r="AL75" s="19">
        <f>IF(AN75=21,J75,0)</f>
        <v>0</v>
      </c>
      <c r="AN75" s="36">
        <v>21</v>
      </c>
      <c r="AO75" s="36">
        <f>G75*0.951580756369033</f>
        <v>0</v>
      </c>
      <c r="AP75" s="36">
        <f>G75*(1-0.951580756369033)</f>
        <v>0</v>
      </c>
      <c r="AQ75" s="32" t="s">
        <v>13</v>
      </c>
      <c r="AV75" s="36">
        <f>AW75+AX75</f>
        <v>0</v>
      </c>
      <c r="AW75" s="36">
        <f>F75*AO75</f>
        <v>0</v>
      </c>
      <c r="AX75" s="36">
        <f>F75*AP75</f>
        <v>0</v>
      </c>
      <c r="AY75" s="37" t="s">
        <v>211</v>
      </c>
      <c r="AZ75" s="37" t="s">
        <v>215</v>
      </c>
      <c r="BA75" s="29" t="s">
        <v>217</v>
      </c>
      <c r="BC75" s="36">
        <f>AW75+AX75</f>
        <v>0</v>
      </c>
      <c r="BD75" s="36">
        <f>G75/(100-BE75)*100</f>
        <v>0</v>
      </c>
      <c r="BE75" s="36">
        <v>0</v>
      </c>
      <c r="BF75" s="36">
        <f>L75</f>
        <v>0.2204</v>
      </c>
      <c r="BH75" s="19">
        <f>F75*AO75</f>
        <v>0</v>
      </c>
      <c r="BI75" s="19">
        <f>F75*AP75</f>
        <v>0</v>
      </c>
      <c r="BJ75" s="19">
        <f>F75*G75</f>
        <v>0</v>
      </c>
    </row>
    <row r="76" spans="4:6" ht="12.75">
      <c r="D76" s="15" t="s">
        <v>147</v>
      </c>
      <c r="F76" s="20">
        <v>4</v>
      </c>
    </row>
    <row r="77" spans="1:62" ht="12.75">
      <c r="A77" s="4" t="s">
        <v>36</v>
      </c>
      <c r="B77" s="4"/>
      <c r="C77" s="4" t="s">
        <v>87</v>
      </c>
      <c r="D77" s="4" t="s">
        <v>149</v>
      </c>
      <c r="E77" s="4" t="s">
        <v>173</v>
      </c>
      <c r="F77" s="19">
        <v>1</v>
      </c>
      <c r="G77" s="116"/>
      <c r="H77" s="19">
        <f>F77*AO77</f>
        <v>0</v>
      </c>
      <c r="I77" s="19">
        <f>F77*AP77</f>
        <v>0</v>
      </c>
      <c r="J77" s="19">
        <f>F77*G77</f>
        <v>0</v>
      </c>
      <c r="K77" s="19">
        <v>0.06061</v>
      </c>
      <c r="L77" s="19">
        <f>F77*K77</f>
        <v>0.06061</v>
      </c>
      <c r="M77" s="32" t="s">
        <v>197</v>
      </c>
      <c r="Z77" s="36">
        <f>IF(AQ77="5",BJ77,0)</f>
        <v>0</v>
      </c>
      <c r="AB77" s="36">
        <f>IF(AQ77="1",BH77,0)</f>
        <v>0</v>
      </c>
      <c r="AC77" s="36">
        <f>IF(AQ77="1",BI77,0)</f>
        <v>0</v>
      </c>
      <c r="AD77" s="36">
        <f>IF(AQ77="7",BH77,0)</f>
        <v>0</v>
      </c>
      <c r="AE77" s="36">
        <f>IF(AQ77="7",BI77,0)</f>
        <v>0</v>
      </c>
      <c r="AF77" s="36">
        <f>IF(AQ77="2",BH77,0)</f>
        <v>0</v>
      </c>
      <c r="AG77" s="36">
        <f>IF(AQ77="2",BI77,0)</f>
        <v>0</v>
      </c>
      <c r="AH77" s="36">
        <f>IF(AQ77="0",BJ77,0)</f>
        <v>0</v>
      </c>
      <c r="AI77" s="29"/>
      <c r="AJ77" s="19">
        <f>IF(AN77=0,J77,0)</f>
        <v>0</v>
      </c>
      <c r="AK77" s="19">
        <f>IF(AN77=15,J77,0)</f>
        <v>0</v>
      </c>
      <c r="AL77" s="19">
        <f>IF(AN77=21,J77,0)</f>
        <v>0</v>
      </c>
      <c r="AN77" s="36">
        <v>21</v>
      </c>
      <c r="AO77" s="36">
        <f>G77*0.953289494569781</f>
        <v>0</v>
      </c>
      <c r="AP77" s="36">
        <f>G77*(1-0.953289494569781)</f>
        <v>0</v>
      </c>
      <c r="AQ77" s="32" t="s">
        <v>13</v>
      </c>
      <c r="AV77" s="36">
        <f>AW77+AX77</f>
        <v>0</v>
      </c>
      <c r="AW77" s="36">
        <f>F77*AO77</f>
        <v>0</v>
      </c>
      <c r="AX77" s="36">
        <f>F77*AP77</f>
        <v>0</v>
      </c>
      <c r="AY77" s="37" t="s">
        <v>211</v>
      </c>
      <c r="AZ77" s="37" t="s">
        <v>215</v>
      </c>
      <c r="BA77" s="29" t="s">
        <v>217</v>
      </c>
      <c r="BC77" s="36">
        <f>AW77+AX77</f>
        <v>0</v>
      </c>
      <c r="BD77" s="36">
        <f>G77/(100-BE77)*100</f>
        <v>0</v>
      </c>
      <c r="BE77" s="36">
        <v>0</v>
      </c>
      <c r="BF77" s="36">
        <f>L77</f>
        <v>0.06061</v>
      </c>
      <c r="BH77" s="19">
        <f>F77*AO77</f>
        <v>0</v>
      </c>
      <c r="BI77" s="19">
        <f>F77*AP77</f>
        <v>0</v>
      </c>
      <c r="BJ77" s="19">
        <f>F77*G77</f>
        <v>0</v>
      </c>
    </row>
    <row r="78" spans="4:6" ht="12.75">
      <c r="D78" s="15" t="s">
        <v>124</v>
      </c>
      <c r="F78" s="20">
        <v>1</v>
      </c>
    </row>
    <row r="79" spans="1:62" ht="12.75">
      <c r="A79" s="4" t="s">
        <v>37</v>
      </c>
      <c r="B79" s="4"/>
      <c r="C79" s="4" t="s">
        <v>88</v>
      </c>
      <c r="D79" s="4" t="s">
        <v>150</v>
      </c>
      <c r="E79" s="4" t="s">
        <v>173</v>
      </c>
      <c r="F79" s="19">
        <v>1</v>
      </c>
      <c r="G79" s="116"/>
      <c r="H79" s="19">
        <f>F79*AO79</f>
        <v>0</v>
      </c>
      <c r="I79" s="19">
        <f>F79*AP79</f>
        <v>0</v>
      </c>
      <c r="J79" s="19">
        <f>F79*G79</f>
        <v>0</v>
      </c>
      <c r="K79" s="19">
        <v>0.0385</v>
      </c>
      <c r="L79" s="19">
        <f>F79*K79</f>
        <v>0.0385</v>
      </c>
      <c r="M79" s="32" t="s">
        <v>197</v>
      </c>
      <c r="Z79" s="36">
        <f>IF(AQ79="5",BJ79,0)</f>
        <v>0</v>
      </c>
      <c r="AB79" s="36">
        <f>IF(AQ79="1",BH79,0)</f>
        <v>0</v>
      </c>
      <c r="AC79" s="36">
        <f>IF(AQ79="1",BI79,0)</f>
        <v>0</v>
      </c>
      <c r="AD79" s="36">
        <f>IF(AQ79="7",BH79,0)</f>
        <v>0</v>
      </c>
      <c r="AE79" s="36">
        <f>IF(AQ79="7",BI79,0)</f>
        <v>0</v>
      </c>
      <c r="AF79" s="36">
        <f>IF(AQ79="2",BH79,0)</f>
        <v>0</v>
      </c>
      <c r="AG79" s="36">
        <f>IF(AQ79="2",BI79,0)</f>
        <v>0</v>
      </c>
      <c r="AH79" s="36">
        <f>IF(AQ79="0",BJ79,0)</f>
        <v>0</v>
      </c>
      <c r="AI79" s="29"/>
      <c r="AJ79" s="19">
        <f>IF(AN79=0,J79,0)</f>
        <v>0</v>
      </c>
      <c r="AK79" s="19">
        <f>IF(AN79=15,J79,0)</f>
        <v>0</v>
      </c>
      <c r="AL79" s="19">
        <f>IF(AN79=21,J79,0)</f>
        <v>0</v>
      </c>
      <c r="AN79" s="36">
        <v>21</v>
      </c>
      <c r="AO79" s="36">
        <f>G79*0.945417619367855</f>
        <v>0</v>
      </c>
      <c r="AP79" s="36">
        <f>G79*(1-0.945417619367855)</f>
        <v>0</v>
      </c>
      <c r="AQ79" s="32" t="s">
        <v>13</v>
      </c>
      <c r="AV79" s="36">
        <f>AW79+AX79</f>
        <v>0</v>
      </c>
      <c r="AW79" s="36">
        <f>F79*AO79</f>
        <v>0</v>
      </c>
      <c r="AX79" s="36">
        <f>F79*AP79</f>
        <v>0</v>
      </c>
      <c r="AY79" s="37" t="s">
        <v>211</v>
      </c>
      <c r="AZ79" s="37" t="s">
        <v>215</v>
      </c>
      <c r="BA79" s="29" t="s">
        <v>217</v>
      </c>
      <c r="BC79" s="36">
        <f>AW79+AX79</f>
        <v>0</v>
      </c>
      <c r="BD79" s="36">
        <f>G79/(100-BE79)*100</f>
        <v>0</v>
      </c>
      <c r="BE79" s="36">
        <v>0</v>
      </c>
      <c r="BF79" s="36">
        <f>L79</f>
        <v>0.0385</v>
      </c>
      <c r="BH79" s="19">
        <f>F79*AO79</f>
        <v>0</v>
      </c>
      <c r="BI79" s="19">
        <f>F79*AP79</f>
        <v>0</v>
      </c>
      <c r="BJ79" s="19">
        <f>F79*G79</f>
        <v>0</v>
      </c>
    </row>
    <row r="80" spans="4:6" ht="12.75">
      <c r="D80" s="15" t="s">
        <v>124</v>
      </c>
      <c r="F80" s="20">
        <v>1</v>
      </c>
    </row>
    <row r="81" spans="1:62" ht="12.75">
      <c r="A81" s="4" t="s">
        <v>38</v>
      </c>
      <c r="B81" s="4"/>
      <c r="C81" s="4" t="s">
        <v>89</v>
      </c>
      <c r="D81" s="4" t="s">
        <v>151</v>
      </c>
      <c r="E81" s="4" t="s">
        <v>173</v>
      </c>
      <c r="F81" s="19">
        <v>7</v>
      </c>
      <c r="G81" s="116"/>
      <c r="H81" s="19">
        <f>F81*AO81</f>
        <v>0</v>
      </c>
      <c r="I81" s="19">
        <f>F81*AP81</f>
        <v>0</v>
      </c>
      <c r="J81" s="19">
        <f>F81*G81</f>
        <v>0</v>
      </c>
      <c r="K81" s="19">
        <v>0</v>
      </c>
      <c r="L81" s="19">
        <f>F81*K81</f>
        <v>0</v>
      </c>
      <c r="M81" s="32" t="s">
        <v>197</v>
      </c>
      <c r="Z81" s="36">
        <f>IF(AQ81="5",BJ81,0)</f>
        <v>0</v>
      </c>
      <c r="AB81" s="36">
        <f>IF(AQ81="1",BH81,0)</f>
        <v>0</v>
      </c>
      <c r="AC81" s="36">
        <f>IF(AQ81="1",BI81,0)</f>
        <v>0</v>
      </c>
      <c r="AD81" s="36">
        <f>IF(AQ81="7",BH81,0)</f>
        <v>0</v>
      </c>
      <c r="AE81" s="36">
        <f>IF(AQ81="7",BI81,0)</f>
        <v>0</v>
      </c>
      <c r="AF81" s="36">
        <f>IF(AQ81="2",BH81,0)</f>
        <v>0</v>
      </c>
      <c r="AG81" s="36">
        <f>IF(AQ81="2",BI81,0)</f>
        <v>0</v>
      </c>
      <c r="AH81" s="36">
        <f>IF(AQ81="0",BJ81,0)</f>
        <v>0</v>
      </c>
      <c r="AI81" s="29"/>
      <c r="AJ81" s="19">
        <f>IF(AN81=0,J81,0)</f>
        <v>0</v>
      </c>
      <c r="AK81" s="19">
        <f>IF(AN81=15,J81,0)</f>
        <v>0</v>
      </c>
      <c r="AL81" s="19">
        <f>IF(AN81=21,J81,0)</f>
        <v>0</v>
      </c>
      <c r="AN81" s="36">
        <v>21</v>
      </c>
      <c r="AO81" s="36">
        <f>G81*0.00857142857142857</f>
        <v>0</v>
      </c>
      <c r="AP81" s="36">
        <f>G81*(1-0.00857142857142857)</f>
        <v>0</v>
      </c>
      <c r="AQ81" s="32" t="s">
        <v>13</v>
      </c>
      <c r="AV81" s="36">
        <f>AW81+AX81</f>
        <v>0</v>
      </c>
      <c r="AW81" s="36">
        <f>F81*AO81</f>
        <v>0</v>
      </c>
      <c r="AX81" s="36">
        <f>F81*AP81</f>
        <v>0</v>
      </c>
      <c r="AY81" s="37" t="s">
        <v>211</v>
      </c>
      <c r="AZ81" s="37" t="s">
        <v>215</v>
      </c>
      <c r="BA81" s="29" t="s">
        <v>217</v>
      </c>
      <c r="BC81" s="36">
        <f>AW81+AX81</f>
        <v>0</v>
      </c>
      <c r="BD81" s="36">
        <f>G81/(100-BE81)*100</f>
        <v>0</v>
      </c>
      <c r="BE81" s="36">
        <v>0</v>
      </c>
      <c r="BF81" s="36">
        <f>L81</f>
        <v>0</v>
      </c>
      <c r="BH81" s="19">
        <f>F81*AO81</f>
        <v>0</v>
      </c>
      <c r="BI81" s="19">
        <f>F81*AP81</f>
        <v>0</v>
      </c>
      <c r="BJ81" s="19">
        <f>F81*G81</f>
        <v>0</v>
      </c>
    </row>
    <row r="82" spans="4:6" ht="12.75">
      <c r="D82" s="15" t="s">
        <v>13</v>
      </c>
      <c r="F82" s="20">
        <v>7</v>
      </c>
    </row>
    <row r="83" spans="1:62" ht="12.75">
      <c r="A83" s="4" t="s">
        <v>39</v>
      </c>
      <c r="B83" s="4"/>
      <c r="C83" s="4" t="s">
        <v>90</v>
      </c>
      <c r="D83" s="4" t="s">
        <v>152</v>
      </c>
      <c r="E83" s="4" t="s">
        <v>173</v>
      </c>
      <c r="F83" s="19">
        <v>11</v>
      </c>
      <c r="G83" s="116"/>
      <c r="H83" s="19">
        <f>F83*AO83</f>
        <v>0</v>
      </c>
      <c r="I83" s="19">
        <f>F83*AP83</f>
        <v>0</v>
      </c>
      <c r="J83" s="19">
        <f>F83*G83</f>
        <v>0</v>
      </c>
      <c r="K83" s="19">
        <v>0</v>
      </c>
      <c r="L83" s="19">
        <f>F83*K83</f>
        <v>0</v>
      </c>
      <c r="M83" s="32" t="s">
        <v>197</v>
      </c>
      <c r="Z83" s="36">
        <f>IF(AQ83="5",BJ83,0)</f>
        <v>0</v>
      </c>
      <c r="AB83" s="36">
        <f>IF(AQ83="1",BH83,0)</f>
        <v>0</v>
      </c>
      <c r="AC83" s="36">
        <f>IF(AQ83="1",BI83,0)</f>
        <v>0</v>
      </c>
      <c r="AD83" s="36">
        <f>IF(AQ83="7",BH83,0)</f>
        <v>0</v>
      </c>
      <c r="AE83" s="36">
        <f>IF(AQ83="7",BI83,0)</f>
        <v>0</v>
      </c>
      <c r="AF83" s="36">
        <f>IF(AQ83="2",BH83,0)</f>
        <v>0</v>
      </c>
      <c r="AG83" s="36">
        <f>IF(AQ83="2",BI83,0)</f>
        <v>0</v>
      </c>
      <c r="AH83" s="36">
        <f>IF(AQ83="0",BJ83,0)</f>
        <v>0</v>
      </c>
      <c r="AI83" s="29"/>
      <c r="AJ83" s="19">
        <f>IF(AN83=0,J83,0)</f>
        <v>0</v>
      </c>
      <c r="AK83" s="19">
        <f>IF(AN83=15,J83,0)</f>
        <v>0</v>
      </c>
      <c r="AL83" s="19">
        <f>IF(AN83=21,J83,0)</f>
        <v>0</v>
      </c>
      <c r="AN83" s="36">
        <v>21</v>
      </c>
      <c r="AO83" s="36">
        <f>G83*0.00929854986900852</f>
        <v>0</v>
      </c>
      <c r="AP83" s="36">
        <f>G83*(1-0.00929854986900852)</f>
        <v>0</v>
      </c>
      <c r="AQ83" s="32" t="s">
        <v>13</v>
      </c>
      <c r="AV83" s="36">
        <f>AW83+AX83</f>
        <v>0</v>
      </c>
      <c r="AW83" s="36">
        <f>F83*AO83</f>
        <v>0</v>
      </c>
      <c r="AX83" s="36">
        <f>F83*AP83</f>
        <v>0</v>
      </c>
      <c r="AY83" s="37" t="s">
        <v>211</v>
      </c>
      <c r="AZ83" s="37" t="s">
        <v>215</v>
      </c>
      <c r="BA83" s="29" t="s">
        <v>217</v>
      </c>
      <c r="BC83" s="36">
        <f>AW83+AX83</f>
        <v>0</v>
      </c>
      <c r="BD83" s="36">
        <f>G83/(100-BE83)*100</f>
        <v>0</v>
      </c>
      <c r="BE83" s="36">
        <v>0</v>
      </c>
      <c r="BF83" s="36">
        <f>L83</f>
        <v>0</v>
      </c>
      <c r="BH83" s="19">
        <f>F83*AO83</f>
        <v>0</v>
      </c>
      <c r="BI83" s="19">
        <f>F83*AP83</f>
        <v>0</v>
      </c>
      <c r="BJ83" s="19">
        <f>F83*G83</f>
        <v>0</v>
      </c>
    </row>
    <row r="84" spans="4:6" ht="12.75">
      <c r="D84" s="15" t="s">
        <v>17</v>
      </c>
      <c r="F84" s="20">
        <v>11</v>
      </c>
    </row>
    <row r="85" spans="1:62" ht="12.75">
      <c r="A85" s="4" t="s">
        <v>40</v>
      </c>
      <c r="B85" s="4"/>
      <c r="C85" s="4" t="s">
        <v>91</v>
      </c>
      <c r="D85" s="4" t="s">
        <v>153</v>
      </c>
      <c r="E85" s="4" t="s">
        <v>173</v>
      </c>
      <c r="F85" s="19">
        <v>6</v>
      </c>
      <c r="G85" s="116"/>
      <c r="H85" s="19">
        <f>F85*AO85</f>
        <v>0</v>
      </c>
      <c r="I85" s="19">
        <f>F85*AP85</f>
        <v>0</v>
      </c>
      <c r="J85" s="19">
        <f>F85*G85</f>
        <v>0</v>
      </c>
      <c r="K85" s="19">
        <v>0</v>
      </c>
      <c r="L85" s="19">
        <f>F85*K85</f>
        <v>0</v>
      </c>
      <c r="M85" s="32" t="s">
        <v>197</v>
      </c>
      <c r="Z85" s="36">
        <f>IF(AQ85="5",BJ85,0)</f>
        <v>0</v>
      </c>
      <c r="AB85" s="36">
        <f>IF(AQ85="1",BH85,0)</f>
        <v>0</v>
      </c>
      <c r="AC85" s="36">
        <f>IF(AQ85="1",BI85,0)</f>
        <v>0</v>
      </c>
      <c r="AD85" s="36">
        <f>IF(AQ85="7",BH85,0)</f>
        <v>0</v>
      </c>
      <c r="AE85" s="36">
        <f>IF(AQ85="7",BI85,0)</f>
        <v>0</v>
      </c>
      <c r="AF85" s="36">
        <f>IF(AQ85="2",BH85,0)</f>
        <v>0</v>
      </c>
      <c r="AG85" s="36">
        <f>IF(AQ85="2",BI85,0)</f>
        <v>0</v>
      </c>
      <c r="AH85" s="36">
        <f>IF(AQ85="0",BJ85,0)</f>
        <v>0</v>
      </c>
      <c r="AI85" s="29"/>
      <c r="AJ85" s="19">
        <f>IF(AN85=0,J85,0)</f>
        <v>0</v>
      </c>
      <c r="AK85" s="19">
        <f>IF(AN85=15,J85,0)</f>
        <v>0</v>
      </c>
      <c r="AL85" s="19">
        <f>IF(AN85=21,J85,0)</f>
        <v>0</v>
      </c>
      <c r="AN85" s="36">
        <v>21</v>
      </c>
      <c r="AO85" s="36">
        <f>G85*0.00924019607843137</f>
        <v>0</v>
      </c>
      <c r="AP85" s="36">
        <f>G85*(1-0.00924019607843137)</f>
        <v>0</v>
      </c>
      <c r="AQ85" s="32" t="s">
        <v>13</v>
      </c>
      <c r="AV85" s="36">
        <f>AW85+AX85</f>
        <v>0</v>
      </c>
      <c r="AW85" s="36">
        <f>F85*AO85</f>
        <v>0</v>
      </c>
      <c r="AX85" s="36">
        <f>F85*AP85</f>
        <v>0</v>
      </c>
      <c r="AY85" s="37" t="s">
        <v>211</v>
      </c>
      <c r="AZ85" s="37" t="s">
        <v>215</v>
      </c>
      <c r="BA85" s="29" t="s">
        <v>217</v>
      </c>
      <c r="BC85" s="36">
        <f>AW85+AX85</f>
        <v>0</v>
      </c>
      <c r="BD85" s="36">
        <f>G85/(100-BE85)*100</f>
        <v>0</v>
      </c>
      <c r="BE85" s="36">
        <v>0</v>
      </c>
      <c r="BF85" s="36">
        <f>L85</f>
        <v>0</v>
      </c>
      <c r="BH85" s="19">
        <f>F85*AO85</f>
        <v>0</v>
      </c>
      <c r="BI85" s="19">
        <f>F85*AP85</f>
        <v>0</v>
      </c>
      <c r="BJ85" s="19">
        <f>F85*G85</f>
        <v>0</v>
      </c>
    </row>
    <row r="86" spans="4:6" ht="12.75">
      <c r="D86" s="15" t="s">
        <v>154</v>
      </c>
      <c r="F86" s="20">
        <v>6</v>
      </c>
    </row>
    <row r="87" spans="1:62" ht="12.75">
      <c r="A87" s="4" t="s">
        <v>41</v>
      </c>
      <c r="B87" s="4"/>
      <c r="C87" s="4" t="s">
        <v>92</v>
      </c>
      <c r="D87" s="4" t="s">
        <v>155</v>
      </c>
      <c r="E87" s="4" t="s">
        <v>173</v>
      </c>
      <c r="F87" s="19">
        <v>7</v>
      </c>
      <c r="G87" s="116"/>
      <c r="H87" s="19">
        <f>F87*AO87</f>
        <v>0</v>
      </c>
      <c r="I87" s="19">
        <f>F87*AP87</f>
        <v>0</v>
      </c>
      <c r="J87" s="19">
        <f>F87*G87</f>
        <v>0</v>
      </c>
      <c r="K87" s="19">
        <v>0</v>
      </c>
      <c r="L87" s="19">
        <f>F87*K87</f>
        <v>0</v>
      </c>
      <c r="M87" s="32" t="s">
        <v>197</v>
      </c>
      <c r="Z87" s="36">
        <f>IF(AQ87="5",BJ87,0)</f>
        <v>0</v>
      </c>
      <c r="AB87" s="36">
        <f>IF(AQ87="1",BH87,0)</f>
        <v>0</v>
      </c>
      <c r="AC87" s="36">
        <f>IF(AQ87="1",BI87,0)</f>
        <v>0</v>
      </c>
      <c r="AD87" s="36">
        <f>IF(AQ87="7",BH87,0)</f>
        <v>0</v>
      </c>
      <c r="AE87" s="36">
        <f>IF(AQ87="7",BI87,0)</f>
        <v>0</v>
      </c>
      <c r="AF87" s="36">
        <f>IF(AQ87="2",BH87,0)</f>
        <v>0</v>
      </c>
      <c r="AG87" s="36">
        <f>IF(AQ87="2",BI87,0)</f>
        <v>0</v>
      </c>
      <c r="AH87" s="36">
        <f>IF(AQ87="0",BJ87,0)</f>
        <v>0</v>
      </c>
      <c r="AI87" s="29"/>
      <c r="AJ87" s="19">
        <f>IF(AN87=0,J87,0)</f>
        <v>0</v>
      </c>
      <c r="AK87" s="19">
        <f>IF(AN87=15,J87,0)</f>
        <v>0</v>
      </c>
      <c r="AL87" s="19">
        <f>IF(AN87=21,J87,0)</f>
        <v>0</v>
      </c>
      <c r="AN87" s="36">
        <v>21</v>
      </c>
      <c r="AO87" s="36">
        <f>G87*0</f>
        <v>0</v>
      </c>
      <c r="AP87" s="36">
        <f>G87*(1-0)</f>
        <v>0</v>
      </c>
      <c r="AQ87" s="32" t="s">
        <v>13</v>
      </c>
      <c r="AV87" s="36">
        <f>AW87+AX87</f>
        <v>0</v>
      </c>
      <c r="AW87" s="36">
        <f>F87*AO87</f>
        <v>0</v>
      </c>
      <c r="AX87" s="36">
        <f>F87*AP87</f>
        <v>0</v>
      </c>
      <c r="AY87" s="37" t="s">
        <v>211</v>
      </c>
      <c r="AZ87" s="37" t="s">
        <v>215</v>
      </c>
      <c r="BA87" s="29" t="s">
        <v>217</v>
      </c>
      <c r="BC87" s="36">
        <f>AW87+AX87</f>
        <v>0</v>
      </c>
      <c r="BD87" s="36">
        <f>G87/(100-BE87)*100</f>
        <v>0</v>
      </c>
      <c r="BE87" s="36">
        <v>0</v>
      </c>
      <c r="BF87" s="36">
        <f>L87</f>
        <v>0</v>
      </c>
      <c r="BH87" s="19">
        <f>F87*AO87</f>
        <v>0</v>
      </c>
      <c r="BI87" s="19">
        <f>F87*AP87</f>
        <v>0</v>
      </c>
      <c r="BJ87" s="19">
        <f>F87*G87</f>
        <v>0</v>
      </c>
    </row>
    <row r="88" spans="4:6" ht="12.75">
      <c r="D88" s="15" t="s">
        <v>13</v>
      </c>
      <c r="F88" s="20">
        <v>7</v>
      </c>
    </row>
    <row r="89" spans="1:62" ht="12.75">
      <c r="A89" s="4" t="s">
        <v>42</v>
      </c>
      <c r="B89" s="4"/>
      <c r="C89" s="4" t="s">
        <v>93</v>
      </c>
      <c r="D89" s="4" t="s">
        <v>156</v>
      </c>
      <c r="E89" s="4" t="s">
        <v>173</v>
      </c>
      <c r="F89" s="19">
        <v>11</v>
      </c>
      <c r="G89" s="116"/>
      <c r="H89" s="19">
        <f>F89*AO89</f>
        <v>0</v>
      </c>
      <c r="I89" s="19">
        <f>F89*AP89</f>
        <v>0</v>
      </c>
      <c r="J89" s="19">
        <f>F89*G89</f>
        <v>0</v>
      </c>
      <c r="K89" s="19">
        <v>0</v>
      </c>
      <c r="L89" s="19">
        <f>F89*K89</f>
        <v>0</v>
      </c>
      <c r="M89" s="32" t="s">
        <v>197</v>
      </c>
      <c r="Z89" s="36">
        <f>IF(AQ89="5",BJ89,0)</f>
        <v>0</v>
      </c>
      <c r="AB89" s="36">
        <f>IF(AQ89="1",BH89,0)</f>
        <v>0</v>
      </c>
      <c r="AC89" s="36">
        <f>IF(AQ89="1",BI89,0)</f>
        <v>0</v>
      </c>
      <c r="AD89" s="36">
        <f>IF(AQ89="7",BH89,0)</f>
        <v>0</v>
      </c>
      <c r="AE89" s="36">
        <f>IF(AQ89="7",BI89,0)</f>
        <v>0</v>
      </c>
      <c r="AF89" s="36">
        <f>IF(AQ89="2",BH89,0)</f>
        <v>0</v>
      </c>
      <c r="AG89" s="36">
        <f>IF(AQ89="2",BI89,0)</f>
        <v>0</v>
      </c>
      <c r="AH89" s="36">
        <f>IF(AQ89="0",BJ89,0)</f>
        <v>0</v>
      </c>
      <c r="AI89" s="29"/>
      <c r="AJ89" s="19">
        <f>IF(AN89=0,J89,0)</f>
        <v>0</v>
      </c>
      <c r="AK89" s="19">
        <f>IF(AN89=15,J89,0)</f>
        <v>0</v>
      </c>
      <c r="AL89" s="19">
        <f>IF(AN89=21,J89,0)</f>
        <v>0</v>
      </c>
      <c r="AN89" s="36">
        <v>21</v>
      </c>
      <c r="AO89" s="36">
        <f>G89*0</f>
        <v>0</v>
      </c>
      <c r="AP89" s="36">
        <f>G89*(1-0)</f>
        <v>0</v>
      </c>
      <c r="AQ89" s="32" t="s">
        <v>13</v>
      </c>
      <c r="AV89" s="36">
        <f>AW89+AX89</f>
        <v>0</v>
      </c>
      <c r="AW89" s="36">
        <f>F89*AO89</f>
        <v>0</v>
      </c>
      <c r="AX89" s="36">
        <f>F89*AP89</f>
        <v>0</v>
      </c>
      <c r="AY89" s="37" t="s">
        <v>211</v>
      </c>
      <c r="AZ89" s="37" t="s">
        <v>215</v>
      </c>
      <c r="BA89" s="29" t="s">
        <v>217</v>
      </c>
      <c r="BC89" s="36">
        <f>AW89+AX89</f>
        <v>0</v>
      </c>
      <c r="BD89" s="36">
        <f>G89/(100-BE89)*100</f>
        <v>0</v>
      </c>
      <c r="BE89" s="36">
        <v>0</v>
      </c>
      <c r="BF89" s="36">
        <f>L89</f>
        <v>0</v>
      </c>
      <c r="BH89" s="19">
        <f>F89*AO89</f>
        <v>0</v>
      </c>
      <c r="BI89" s="19">
        <f>F89*AP89</f>
        <v>0</v>
      </c>
      <c r="BJ89" s="19">
        <f>F89*G89</f>
        <v>0</v>
      </c>
    </row>
    <row r="90" spans="4:6" ht="12.75">
      <c r="D90" s="15" t="s">
        <v>17</v>
      </c>
      <c r="F90" s="20">
        <v>11</v>
      </c>
    </row>
    <row r="91" spans="1:62" ht="12.75">
      <c r="A91" s="4" t="s">
        <v>43</v>
      </c>
      <c r="B91" s="4"/>
      <c r="C91" s="4" t="s">
        <v>94</v>
      </c>
      <c r="D91" s="4" t="s">
        <v>157</v>
      </c>
      <c r="E91" s="4" t="s">
        <v>173</v>
      </c>
      <c r="F91" s="19">
        <v>6</v>
      </c>
      <c r="G91" s="116"/>
      <c r="H91" s="19">
        <f>F91*AO91</f>
        <v>0</v>
      </c>
      <c r="I91" s="19">
        <f>F91*AP91</f>
        <v>0</v>
      </c>
      <c r="J91" s="19">
        <f>F91*G91</f>
        <v>0</v>
      </c>
      <c r="K91" s="19">
        <v>0</v>
      </c>
      <c r="L91" s="19">
        <f>F91*K91</f>
        <v>0</v>
      </c>
      <c r="M91" s="32" t="s">
        <v>197</v>
      </c>
      <c r="Z91" s="36">
        <f>IF(AQ91="5",BJ91,0)</f>
        <v>0</v>
      </c>
      <c r="AB91" s="36">
        <f>IF(AQ91="1",BH91,0)</f>
        <v>0</v>
      </c>
      <c r="AC91" s="36">
        <f>IF(AQ91="1",BI91,0)</f>
        <v>0</v>
      </c>
      <c r="AD91" s="36">
        <f>IF(AQ91="7",BH91,0)</f>
        <v>0</v>
      </c>
      <c r="AE91" s="36">
        <f>IF(AQ91="7",BI91,0)</f>
        <v>0</v>
      </c>
      <c r="AF91" s="36">
        <f>IF(AQ91="2",BH91,0)</f>
        <v>0</v>
      </c>
      <c r="AG91" s="36">
        <f>IF(AQ91="2",BI91,0)</f>
        <v>0</v>
      </c>
      <c r="AH91" s="36">
        <f>IF(AQ91="0",BJ91,0)</f>
        <v>0</v>
      </c>
      <c r="AI91" s="29"/>
      <c r="AJ91" s="19">
        <f>IF(AN91=0,J91,0)</f>
        <v>0</v>
      </c>
      <c r="AK91" s="19">
        <f>IF(AN91=15,J91,0)</f>
        <v>0</v>
      </c>
      <c r="AL91" s="19">
        <f>IF(AN91=21,J91,0)</f>
        <v>0</v>
      </c>
      <c r="AN91" s="36">
        <v>21</v>
      </c>
      <c r="AO91" s="36">
        <f>G91*0</f>
        <v>0</v>
      </c>
      <c r="AP91" s="36">
        <f>G91*(1-0)</f>
        <v>0</v>
      </c>
      <c r="AQ91" s="32" t="s">
        <v>13</v>
      </c>
      <c r="AV91" s="36">
        <f>AW91+AX91</f>
        <v>0</v>
      </c>
      <c r="AW91" s="36">
        <f>F91*AO91</f>
        <v>0</v>
      </c>
      <c r="AX91" s="36">
        <f>F91*AP91</f>
        <v>0</v>
      </c>
      <c r="AY91" s="37" t="s">
        <v>211</v>
      </c>
      <c r="AZ91" s="37" t="s">
        <v>215</v>
      </c>
      <c r="BA91" s="29" t="s">
        <v>217</v>
      </c>
      <c r="BC91" s="36">
        <f>AW91+AX91</f>
        <v>0</v>
      </c>
      <c r="BD91" s="36">
        <f>G91/(100-BE91)*100</f>
        <v>0</v>
      </c>
      <c r="BE91" s="36">
        <v>0</v>
      </c>
      <c r="BF91" s="36">
        <f>L91</f>
        <v>0</v>
      </c>
      <c r="BH91" s="19">
        <f>F91*AO91</f>
        <v>0</v>
      </c>
      <c r="BI91" s="19">
        <f>F91*AP91</f>
        <v>0</v>
      </c>
      <c r="BJ91" s="19">
        <f>F91*G91</f>
        <v>0</v>
      </c>
    </row>
    <row r="92" spans="4:6" ht="12.75">
      <c r="D92" s="15" t="s">
        <v>154</v>
      </c>
      <c r="F92" s="20">
        <v>6</v>
      </c>
    </row>
    <row r="93" spans="1:62" ht="12.75">
      <c r="A93" s="4" t="s">
        <v>44</v>
      </c>
      <c r="B93" s="4"/>
      <c r="C93" s="4" t="s">
        <v>95</v>
      </c>
      <c r="D93" s="4" t="s">
        <v>158</v>
      </c>
      <c r="E93" s="4" t="s">
        <v>174</v>
      </c>
      <c r="F93" s="19">
        <v>1</v>
      </c>
      <c r="G93" s="116"/>
      <c r="H93" s="19">
        <f>F93*AO93</f>
        <v>0</v>
      </c>
      <c r="I93" s="19">
        <f>F93*AP93</f>
        <v>0</v>
      </c>
      <c r="J93" s="19">
        <f>F93*G93</f>
        <v>0</v>
      </c>
      <c r="K93" s="19">
        <v>0.01632</v>
      </c>
      <c r="L93" s="19">
        <f>F93*K93</f>
        <v>0.01632</v>
      </c>
      <c r="M93" s="32" t="s">
        <v>197</v>
      </c>
      <c r="Z93" s="36">
        <f>IF(AQ93="5",BJ93,0)</f>
        <v>0</v>
      </c>
      <c r="AB93" s="36">
        <f>IF(AQ93="1",BH93,0)</f>
        <v>0</v>
      </c>
      <c r="AC93" s="36">
        <f>IF(AQ93="1",BI93,0)</f>
        <v>0</v>
      </c>
      <c r="AD93" s="36">
        <f>IF(AQ93="7",BH93,0)</f>
        <v>0</v>
      </c>
      <c r="AE93" s="36">
        <f>IF(AQ93="7",BI93,0)</f>
        <v>0</v>
      </c>
      <c r="AF93" s="36">
        <f>IF(AQ93="2",BH93,0)</f>
        <v>0</v>
      </c>
      <c r="AG93" s="36">
        <f>IF(AQ93="2",BI93,0)</f>
        <v>0</v>
      </c>
      <c r="AH93" s="36">
        <f>IF(AQ93="0",BJ93,0)</f>
        <v>0</v>
      </c>
      <c r="AI93" s="29"/>
      <c r="AJ93" s="19">
        <f>IF(AN93=0,J93,0)</f>
        <v>0</v>
      </c>
      <c r="AK93" s="19">
        <f>IF(AN93=15,J93,0)</f>
        <v>0</v>
      </c>
      <c r="AL93" s="19">
        <f>IF(AN93=21,J93,0)</f>
        <v>0</v>
      </c>
      <c r="AN93" s="36">
        <v>21</v>
      </c>
      <c r="AO93" s="36">
        <f>G93*0.42872380952381</f>
        <v>0</v>
      </c>
      <c r="AP93" s="36">
        <f>G93*(1-0.42872380952381)</f>
        <v>0</v>
      </c>
      <c r="AQ93" s="32" t="s">
        <v>13</v>
      </c>
      <c r="AV93" s="36">
        <f>AW93+AX93</f>
        <v>0</v>
      </c>
      <c r="AW93" s="36">
        <f>F93*AO93</f>
        <v>0</v>
      </c>
      <c r="AX93" s="36">
        <f>F93*AP93</f>
        <v>0</v>
      </c>
      <c r="AY93" s="37" t="s">
        <v>211</v>
      </c>
      <c r="AZ93" s="37" t="s">
        <v>215</v>
      </c>
      <c r="BA93" s="29" t="s">
        <v>217</v>
      </c>
      <c r="BC93" s="36">
        <f>AW93+AX93</f>
        <v>0</v>
      </c>
      <c r="BD93" s="36">
        <f>G93/(100-BE93)*100</f>
        <v>0</v>
      </c>
      <c r="BE93" s="36">
        <v>0</v>
      </c>
      <c r="BF93" s="36">
        <f>L93</f>
        <v>0.01632</v>
      </c>
      <c r="BH93" s="19">
        <f>F93*AO93</f>
        <v>0</v>
      </c>
      <c r="BI93" s="19">
        <f>F93*AP93</f>
        <v>0</v>
      </c>
      <c r="BJ93" s="19">
        <f>F93*G93</f>
        <v>0</v>
      </c>
    </row>
    <row r="94" spans="4:6" ht="12.75">
      <c r="D94" s="15" t="s">
        <v>124</v>
      </c>
      <c r="F94" s="20">
        <v>1</v>
      </c>
    </row>
    <row r="95" spans="1:47" ht="12.75">
      <c r="A95" s="5"/>
      <c r="B95" s="13"/>
      <c r="C95" s="13" t="s">
        <v>96</v>
      </c>
      <c r="D95" s="13" t="s">
        <v>159</v>
      </c>
      <c r="E95" s="5" t="s">
        <v>6</v>
      </c>
      <c r="F95" s="5" t="s">
        <v>6</v>
      </c>
      <c r="G95" s="5" t="s">
        <v>6</v>
      </c>
      <c r="H95" s="39">
        <f>SUM(H96:H98)</f>
        <v>0</v>
      </c>
      <c r="I95" s="39">
        <f>SUM(I96:I98)</f>
        <v>0</v>
      </c>
      <c r="J95" s="39">
        <f>SUM(J96:J98)</f>
        <v>0</v>
      </c>
      <c r="K95" s="29"/>
      <c r="L95" s="39">
        <f>SUM(L96:L98)</f>
        <v>0</v>
      </c>
      <c r="M95" s="29"/>
      <c r="AI95" s="29"/>
      <c r="AS95" s="39">
        <f>SUM(AJ96:AJ98)</f>
        <v>0</v>
      </c>
      <c r="AT95" s="39">
        <f>SUM(AK96:AK98)</f>
        <v>0</v>
      </c>
      <c r="AU95" s="39">
        <f>SUM(AL96:AL98)</f>
        <v>0</v>
      </c>
    </row>
    <row r="96" spans="1:62" ht="12.75">
      <c r="A96" s="4" t="s">
        <v>45</v>
      </c>
      <c r="B96" s="4"/>
      <c r="C96" s="4" t="s">
        <v>97</v>
      </c>
      <c r="D96" s="4" t="s">
        <v>160</v>
      </c>
      <c r="E96" s="4" t="s">
        <v>175</v>
      </c>
      <c r="F96" s="19">
        <v>24</v>
      </c>
      <c r="G96" s="116"/>
      <c r="H96" s="19">
        <f>F96*AO96</f>
        <v>0</v>
      </c>
      <c r="I96" s="19">
        <f>F96*AP96</f>
        <v>0</v>
      </c>
      <c r="J96" s="19">
        <f>F96*G96</f>
        <v>0</v>
      </c>
      <c r="K96" s="19">
        <v>0</v>
      </c>
      <c r="L96" s="19">
        <f>F96*K96</f>
        <v>0</v>
      </c>
      <c r="M96" s="32" t="s">
        <v>197</v>
      </c>
      <c r="Z96" s="36">
        <f>IF(AQ96="5",BJ96,0)</f>
        <v>0</v>
      </c>
      <c r="AB96" s="36">
        <f>IF(AQ96="1",BH96,0)</f>
        <v>0</v>
      </c>
      <c r="AC96" s="36">
        <f>IF(AQ96="1",BI96,0)</f>
        <v>0</v>
      </c>
      <c r="AD96" s="36">
        <f>IF(AQ96="7",BH96,0)</f>
        <v>0</v>
      </c>
      <c r="AE96" s="36">
        <f>IF(AQ96="7",BI96,0)</f>
        <v>0</v>
      </c>
      <c r="AF96" s="36">
        <f>IF(AQ96="2",BH96,0)</f>
        <v>0</v>
      </c>
      <c r="AG96" s="36">
        <f>IF(AQ96="2",BI96,0)</f>
        <v>0</v>
      </c>
      <c r="AH96" s="36">
        <f>IF(AQ96="0",BJ96,0)</f>
        <v>0</v>
      </c>
      <c r="AI96" s="29"/>
      <c r="AJ96" s="19">
        <f>IF(AN96=0,J96,0)</f>
        <v>0</v>
      </c>
      <c r="AK96" s="19">
        <f>IF(AN96=15,J96,0)</f>
        <v>0</v>
      </c>
      <c r="AL96" s="19">
        <f>IF(AN96=21,J96,0)</f>
        <v>0</v>
      </c>
      <c r="AN96" s="36">
        <v>21</v>
      </c>
      <c r="AO96" s="36">
        <f>G96*0</f>
        <v>0</v>
      </c>
      <c r="AP96" s="36">
        <f>G96*(1-0)</f>
        <v>0</v>
      </c>
      <c r="AQ96" s="32" t="s">
        <v>7</v>
      </c>
      <c r="AV96" s="36">
        <f>AW96+AX96</f>
        <v>0</v>
      </c>
      <c r="AW96" s="36">
        <f>F96*AO96</f>
        <v>0</v>
      </c>
      <c r="AX96" s="36">
        <f>F96*AP96</f>
        <v>0</v>
      </c>
      <c r="AY96" s="37" t="s">
        <v>212</v>
      </c>
      <c r="AZ96" s="37" t="s">
        <v>216</v>
      </c>
      <c r="BA96" s="29" t="s">
        <v>217</v>
      </c>
      <c r="BC96" s="36">
        <f>AW96+AX96</f>
        <v>0</v>
      </c>
      <c r="BD96" s="36">
        <f>G96/(100-BE96)*100</f>
        <v>0</v>
      </c>
      <c r="BE96" s="36">
        <v>0</v>
      </c>
      <c r="BF96" s="36">
        <f>L96</f>
        <v>0</v>
      </c>
      <c r="BH96" s="19">
        <f>F96*AO96</f>
        <v>0</v>
      </c>
      <c r="BI96" s="19">
        <f>F96*AP96</f>
        <v>0</v>
      </c>
      <c r="BJ96" s="19">
        <f>F96*G96</f>
        <v>0</v>
      </c>
    </row>
    <row r="97" spans="4:6" ht="12.75">
      <c r="D97" s="15" t="s">
        <v>161</v>
      </c>
      <c r="F97" s="20">
        <v>24</v>
      </c>
    </row>
    <row r="98" spans="1:62" ht="12.75">
      <c r="A98" s="4" t="s">
        <v>46</v>
      </c>
      <c r="B98" s="4"/>
      <c r="C98" s="4" t="s">
        <v>98</v>
      </c>
      <c r="D98" s="4" t="s">
        <v>162</v>
      </c>
      <c r="E98" s="4" t="s">
        <v>175</v>
      </c>
      <c r="F98" s="19">
        <v>35</v>
      </c>
      <c r="G98" s="116"/>
      <c r="H98" s="19">
        <f>F98*AO98</f>
        <v>0</v>
      </c>
      <c r="I98" s="19">
        <f>F98*AP98</f>
        <v>0</v>
      </c>
      <c r="J98" s="19">
        <f>F98*G98</f>
        <v>0</v>
      </c>
      <c r="K98" s="19">
        <v>0</v>
      </c>
      <c r="L98" s="19">
        <f>F98*K98</f>
        <v>0</v>
      </c>
      <c r="M98" s="32" t="s">
        <v>197</v>
      </c>
      <c r="Z98" s="36">
        <f>IF(AQ98="5",BJ98,0)</f>
        <v>0</v>
      </c>
      <c r="AB98" s="36">
        <f>IF(AQ98="1",BH98,0)</f>
        <v>0</v>
      </c>
      <c r="AC98" s="36">
        <f>IF(AQ98="1",BI98,0)</f>
        <v>0</v>
      </c>
      <c r="AD98" s="36">
        <f>IF(AQ98="7",BH98,0)</f>
        <v>0</v>
      </c>
      <c r="AE98" s="36">
        <f>IF(AQ98="7",BI98,0)</f>
        <v>0</v>
      </c>
      <c r="AF98" s="36">
        <f>IF(AQ98="2",BH98,0)</f>
        <v>0</v>
      </c>
      <c r="AG98" s="36">
        <f>IF(AQ98="2",BI98,0)</f>
        <v>0</v>
      </c>
      <c r="AH98" s="36">
        <f>IF(AQ98="0",BJ98,0)</f>
        <v>0</v>
      </c>
      <c r="AI98" s="29"/>
      <c r="AJ98" s="19">
        <f>IF(AN98=0,J98,0)</f>
        <v>0</v>
      </c>
      <c r="AK98" s="19">
        <f>IF(AN98=15,J98,0)</f>
        <v>0</v>
      </c>
      <c r="AL98" s="19">
        <f>IF(AN98=21,J98,0)</f>
        <v>0</v>
      </c>
      <c r="AN98" s="36">
        <v>21</v>
      </c>
      <c r="AO98" s="36">
        <f>G98*0</f>
        <v>0</v>
      </c>
      <c r="AP98" s="36">
        <f>G98*(1-0)</f>
        <v>0</v>
      </c>
      <c r="AQ98" s="32" t="s">
        <v>7</v>
      </c>
      <c r="AV98" s="36">
        <f>AW98+AX98</f>
        <v>0</v>
      </c>
      <c r="AW98" s="36">
        <f>F98*AO98</f>
        <v>0</v>
      </c>
      <c r="AX98" s="36">
        <f>F98*AP98</f>
        <v>0</v>
      </c>
      <c r="AY98" s="37" t="s">
        <v>212</v>
      </c>
      <c r="AZ98" s="37" t="s">
        <v>216</v>
      </c>
      <c r="BA98" s="29" t="s">
        <v>217</v>
      </c>
      <c r="BC98" s="36">
        <f>AW98+AX98</f>
        <v>0</v>
      </c>
      <c r="BD98" s="36">
        <f>G98/(100-BE98)*100</f>
        <v>0</v>
      </c>
      <c r="BE98" s="36">
        <v>0</v>
      </c>
      <c r="BF98" s="36">
        <f>L98</f>
        <v>0</v>
      </c>
      <c r="BH98" s="19">
        <f>F98*AO98</f>
        <v>0</v>
      </c>
      <c r="BI98" s="19">
        <f>F98*AP98</f>
        <v>0</v>
      </c>
      <c r="BJ98" s="19">
        <f>F98*G98</f>
        <v>0</v>
      </c>
    </row>
    <row r="99" spans="4:6" ht="12.75">
      <c r="D99" s="15" t="s">
        <v>163</v>
      </c>
      <c r="F99" s="20">
        <v>35</v>
      </c>
    </row>
    <row r="100" spans="1:47" ht="12.75">
      <c r="A100" s="5"/>
      <c r="B100" s="13"/>
      <c r="C100" s="13" t="s">
        <v>99</v>
      </c>
      <c r="D100" s="13" t="s">
        <v>164</v>
      </c>
      <c r="E100" s="5" t="s">
        <v>6</v>
      </c>
      <c r="F100" s="5" t="s">
        <v>6</v>
      </c>
      <c r="G100" s="5" t="s">
        <v>6</v>
      </c>
      <c r="H100" s="39">
        <f>SUM(H101:H101)</f>
        <v>0</v>
      </c>
      <c r="I100" s="39">
        <f>SUM(I101:I101)</f>
        <v>0</v>
      </c>
      <c r="J100" s="39">
        <f>SUM(J101:J101)</f>
        <v>0</v>
      </c>
      <c r="K100" s="29"/>
      <c r="L100" s="39">
        <f>SUM(L101:L101)</f>
        <v>0</v>
      </c>
      <c r="M100" s="29"/>
      <c r="AI100" s="29"/>
      <c r="AS100" s="39">
        <f>SUM(AJ101:AJ101)</f>
        <v>0</v>
      </c>
      <c r="AT100" s="39">
        <f>SUM(AK101:AK101)</f>
        <v>0</v>
      </c>
      <c r="AU100" s="39">
        <f>SUM(AL101:AL101)</f>
        <v>0</v>
      </c>
    </row>
    <row r="101" spans="1:62" ht="12.75">
      <c r="A101" s="4" t="s">
        <v>47</v>
      </c>
      <c r="B101" s="4"/>
      <c r="C101" s="4" t="s">
        <v>100</v>
      </c>
      <c r="D101" s="4" t="s">
        <v>165</v>
      </c>
      <c r="E101" s="4" t="s">
        <v>174</v>
      </c>
      <c r="F101" s="19">
        <v>1</v>
      </c>
      <c r="G101" s="116"/>
      <c r="H101" s="19">
        <f>F101*AO101</f>
        <v>0</v>
      </c>
      <c r="I101" s="19">
        <f>F101*AP101</f>
        <v>0</v>
      </c>
      <c r="J101" s="19">
        <f>F101*G101</f>
        <v>0</v>
      </c>
      <c r="K101" s="19">
        <v>0</v>
      </c>
      <c r="L101" s="19">
        <f>F101*K101</f>
        <v>0</v>
      </c>
      <c r="M101" s="32" t="s">
        <v>197</v>
      </c>
      <c r="Z101" s="36">
        <f>IF(AQ101="5",BJ101,0)</f>
        <v>0</v>
      </c>
      <c r="AB101" s="36">
        <f>IF(AQ101="1",BH101,0)</f>
        <v>0</v>
      </c>
      <c r="AC101" s="36">
        <f>IF(AQ101="1",BI101,0)</f>
        <v>0</v>
      </c>
      <c r="AD101" s="36">
        <f>IF(AQ101="7",BH101,0)</f>
        <v>0</v>
      </c>
      <c r="AE101" s="36">
        <f>IF(AQ101="7",BI101,0)</f>
        <v>0</v>
      </c>
      <c r="AF101" s="36">
        <f>IF(AQ101="2",BH101,0)</f>
        <v>0</v>
      </c>
      <c r="AG101" s="36">
        <f>IF(AQ101="2",BI101,0)</f>
        <v>0</v>
      </c>
      <c r="AH101" s="36">
        <f>IF(AQ101="0",BJ101,0)</f>
        <v>0</v>
      </c>
      <c r="AI101" s="29"/>
      <c r="AJ101" s="19">
        <f>IF(AN101=0,J101,0)</f>
        <v>0</v>
      </c>
      <c r="AK101" s="19">
        <f>IF(AN101=15,J101,0)</f>
        <v>0</v>
      </c>
      <c r="AL101" s="19">
        <f>IF(AN101=21,J101,0)</f>
        <v>0</v>
      </c>
      <c r="AN101" s="36">
        <v>21</v>
      </c>
      <c r="AO101" s="36">
        <f>G101*0</f>
        <v>0</v>
      </c>
      <c r="AP101" s="36">
        <f>G101*(1-0)</f>
        <v>0</v>
      </c>
      <c r="AQ101" s="32" t="s">
        <v>8</v>
      </c>
      <c r="AV101" s="36">
        <f>AW101+AX101</f>
        <v>0</v>
      </c>
      <c r="AW101" s="36">
        <f>F101*AO101</f>
        <v>0</v>
      </c>
      <c r="AX101" s="36">
        <f>F101*AP101</f>
        <v>0</v>
      </c>
      <c r="AY101" s="37" t="s">
        <v>213</v>
      </c>
      <c r="AZ101" s="37" t="s">
        <v>216</v>
      </c>
      <c r="BA101" s="29" t="s">
        <v>217</v>
      </c>
      <c r="BC101" s="36">
        <f>AW101+AX101</f>
        <v>0</v>
      </c>
      <c r="BD101" s="36">
        <f>G101/(100-BE101)*100</f>
        <v>0</v>
      </c>
      <c r="BE101" s="36">
        <v>0</v>
      </c>
      <c r="BF101" s="36">
        <f>L101</f>
        <v>0</v>
      </c>
      <c r="BH101" s="19">
        <f>F101*AO101</f>
        <v>0</v>
      </c>
      <c r="BI101" s="19">
        <f>F101*AP101</f>
        <v>0</v>
      </c>
      <c r="BJ101" s="19">
        <f>F101*G101</f>
        <v>0</v>
      </c>
    </row>
    <row r="102" spans="1:13" ht="12.75">
      <c r="A102" s="7"/>
      <c r="B102" s="7"/>
      <c r="C102" s="7"/>
      <c r="D102" s="16" t="s">
        <v>124</v>
      </c>
      <c r="E102" s="7"/>
      <c r="F102" s="22">
        <v>1</v>
      </c>
      <c r="G102" s="7"/>
      <c r="H102" s="7"/>
      <c r="I102" s="7"/>
      <c r="J102" s="7"/>
      <c r="K102" s="7"/>
      <c r="L102" s="7"/>
      <c r="M102" s="7"/>
    </row>
    <row r="103" spans="1:13" ht="12.75">
      <c r="A103" s="8"/>
      <c r="B103" s="8"/>
      <c r="C103" s="8"/>
      <c r="D103" s="8"/>
      <c r="E103" s="8"/>
      <c r="F103" s="8"/>
      <c r="G103" s="8"/>
      <c r="H103" s="70" t="s">
        <v>186</v>
      </c>
      <c r="I103" s="71"/>
      <c r="J103" s="40">
        <f>J12+J23+J28+J43+J58+J95+J100</f>
        <v>0</v>
      </c>
      <c r="K103" s="8"/>
      <c r="L103" s="8"/>
      <c r="M103" s="8"/>
    </row>
    <row r="104" ht="11.25" customHeight="1">
      <c r="A104" s="9" t="s">
        <v>49</v>
      </c>
    </row>
    <row r="105" spans="1:13" ht="12.7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103:I103"/>
    <mergeCell ref="A105:M105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1" t="s">
        <v>221</v>
      </c>
      <c r="B1" s="82"/>
      <c r="C1" s="82"/>
      <c r="D1" s="82"/>
      <c r="E1" s="82"/>
      <c r="F1" s="82"/>
      <c r="G1" s="82"/>
    </row>
    <row r="2" spans="1:8" ht="12.75">
      <c r="A2" s="83" t="s">
        <v>1</v>
      </c>
      <c r="B2" s="85" t="str">
        <f>'Stavební rozpočet'!D2</f>
        <v>REKONSTRUKCE HASIČÁRNY</v>
      </c>
      <c r="C2" s="71"/>
      <c r="D2" s="88" t="s">
        <v>180</v>
      </c>
      <c r="E2" s="88" t="str">
        <f>'Stavební rozpočet'!I2</f>
        <v>MĚSTO ŠLUKNOV</v>
      </c>
      <c r="F2" s="84"/>
      <c r="G2" s="89"/>
      <c r="H2" s="34"/>
    </row>
    <row r="3" spans="1:8" ht="12.75">
      <c r="A3" s="80"/>
      <c r="B3" s="86"/>
      <c r="C3" s="86"/>
      <c r="D3" s="73"/>
      <c r="E3" s="73"/>
      <c r="F3" s="73"/>
      <c r="G3" s="78"/>
      <c r="H3" s="34"/>
    </row>
    <row r="4" spans="1:8" ht="12.75">
      <c r="A4" s="74" t="s">
        <v>2</v>
      </c>
      <c r="B4" s="72" t="str">
        <f>'Stavební rozpočet'!D4</f>
        <v>ÚT</v>
      </c>
      <c r="C4" s="73"/>
      <c r="D4" s="72" t="s">
        <v>181</v>
      </c>
      <c r="E4" s="72" t="str">
        <f>'Stavební rozpočet'!I4</f>
        <v>ING.MATĚJKA</v>
      </c>
      <c r="F4" s="73"/>
      <c r="G4" s="78"/>
      <c r="H4" s="34"/>
    </row>
    <row r="5" spans="1:8" ht="12.75">
      <c r="A5" s="80"/>
      <c r="B5" s="73"/>
      <c r="C5" s="73"/>
      <c r="D5" s="73"/>
      <c r="E5" s="73"/>
      <c r="F5" s="73"/>
      <c r="G5" s="78"/>
      <c r="H5" s="34"/>
    </row>
    <row r="6" spans="1:8" ht="12.75">
      <c r="A6" s="74" t="s">
        <v>3</v>
      </c>
      <c r="B6" s="72" t="str">
        <f>'Stavební rozpočet'!D6</f>
        <v>ŠLUKNOV</v>
      </c>
      <c r="C6" s="73"/>
      <c r="D6" s="72" t="s">
        <v>182</v>
      </c>
      <c r="E6" s="72" t="str">
        <f>'Stavební rozpočet'!I6</f>
        <v>BUDE VYBRÁN</v>
      </c>
      <c r="F6" s="73"/>
      <c r="G6" s="78"/>
      <c r="H6" s="34"/>
    </row>
    <row r="7" spans="1:8" ht="12.75">
      <c r="A7" s="80"/>
      <c r="B7" s="73"/>
      <c r="C7" s="73"/>
      <c r="D7" s="73"/>
      <c r="E7" s="73"/>
      <c r="F7" s="73"/>
      <c r="G7" s="78"/>
      <c r="H7" s="34"/>
    </row>
    <row r="8" spans="1:8" ht="12.75">
      <c r="A8" s="74" t="s">
        <v>183</v>
      </c>
      <c r="B8" s="72" t="str">
        <f>'Stavební rozpočet'!I8</f>
        <v>IIČVDF</v>
      </c>
      <c r="C8" s="73"/>
      <c r="D8" s="77" t="s">
        <v>169</v>
      </c>
      <c r="E8" s="72" t="str">
        <f>'Stavební rozpočet'!G8</f>
        <v>28.03.2019</v>
      </c>
      <c r="F8" s="73"/>
      <c r="G8" s="78"/>
      <c r="H8" s="34"/>
    </row>
    <row r="9" spans="1:8" ht="12.75">
      <c r="A9" s="75"/>
      <c r="B9" s="76"/>
      <c r="C9" s="76"/>
      <c r="D9" s="76"/>
      <c r="E9" s="76"/>
      <c r="F9" s="76"/>
      <c r="G9" s="79"/>
      <c r="H9" s="34"/>
    </row>
    <row r="10" spans="1:8" ht="12.75">
      <c r="A10" s="41" t="s">
        <v>50</v>
      </c>
      <c r="B10" s="43" t="s">
        <v>51</v>
      </c>
      <c r="C10" s="44" t="s">
        <v>104</v>
      </c>
      <c r="D10" s="45" t="s">
        <v>222</v>
      </c>
      <c r="E10" s="45" t="s">
        <v>223</v>
      </c>
      <c r="F10" s="45" t="s">
        <v>224</v>
      </c>
      <c r="G10" s="47" t="s">
        <v>225</v>
      </c>
      <c r="H10" s="35"/>
    </row>
    <row r="11" spans="1:9" ht="12.75">
      <c r="A11" s="42"/>
      <c r="B11" s="42" t="s">
        <v>52</v>
      </c>
      <c r="C11" s="42" t="s">
        <v>106</v>
      </c>
      <c r="D11" s="48">
        <f>'Stavební rozpočet'!H12</f>
        <v>0</v>
      </c>
      <c r="E11" s="48">
        <f>'Stavební rozpočet'!I12</f>
        <v>0</v>
      </c>
      <c r="F11" s="48">
        <f>'Stavební rozpočet'!J12</f>
        <v>0</v>
      </c>
      <c r="G11" s="48">
        <f>'Stavební rozpočet'!L12</f>
        <v>0.011789</v>
      </c>
      <c r="H11" s="36" t="s">
        <v>226</v>
      </c>
      <c r="I11" s="36">
        <f aca="true" t="shared" si="0" ref="I11:I17">IF(H11="F",0,F11)</f>
        <v>0</v>
      </c>
    </row>
    <row r="12" spans="1:9" ht="12.75">
      <c r="A12" s="17"/>
      <c r="B12" s="17" t="s">
        <v>58</v>
      </c>
      <c r="C12" s="17" t="s">
        <v>111</v>
      </c>
      <c r="D12" s="36">
        <f>'Stavební rozpočet'!H23</f>
        <v>0</v>
      </c>
      <c r="E12" s="36">
        <f>'Stavební rozpočet'!I23</f>
        <v>0</v>
      </c>
      <c r="F12" s="36">
        <f>'Stavební rozpočet'!J23</f>
        <v>0</v>
      </c>
      <c r="G12" s="36">
        <f>'Stavební rozpočet'!L23</f>
        <v>0.006010000000000001</v>
      </c>
      <c r="H12" s="36" t="s">
        <v>226</v>
      </c>
      <c r="I12" s="36">
        <f t="shared" si="0"/>
        <v>0</v>
      </c>
    </row>
    <row r="13" spans="1:9" ht="12.75">
      <c r="A13" s="17"/>
      <c r="B13" s="17" t="s">
        <v>61</v>
      </c>
      <c r="C13" s="17" t="s">
        <v>116</v>
      </c>
      <c r="D13" s="36">
        <f>'Stavební rozpočet'!H28</f>
        <v>0</v>
      </c>
      <c r="E13" s="36">
        <f>'Stavební rozpočet'!I28</f>
        <v>0</v>
      </c>
      <c r="F13" s="36">
        <f>'Stavební rozpočet'!J28</f>
        <v>0</v>
      </c>
      <c r="G13" s="36">
        <f>'Stavební rozpočet'!L28</f>
        <v>0.230635</v>
      </c>
      <c r="H13" s="36" t="s">
        <v>226</v>
      </c>
      <c r="I13" s="36">
        <f t="shared" si="0"/>
        <v>0</v>
      </c>
    </row>
    <row r="14" spans="1:9" ht="12.75">
      <c r="A14" s="17"/>
      <c r="B14" s="17" t="s">
        <v>69</v>
      </c>
      <c r="C14" s="17" t="s">
        <v>125</v>
      </c>
      <c r="D14" s="36">
        <f>'Stavební rozpočet'!H43</f>
        <v>0</v>
      </c>
      <c r="E14" s="36">
        <f>'Stavební rozpočet'!I43</f>
        <v>0</v>
      </c>
      <c r="F14" s="36">
        <f>'Stavební rozpočet'!J43</f>
        <v>0</v>
      </c>
      <c r="G14" s="36">
        <f>'Stavební rozpočet'!L43</f>
        <v>0.00465</v>
      </c>
      <c r="H14" s="36" t="s">
        <v>226</v>
      </c>
      <c r="I14" s="36">
        <f t="shared" si="0"/>
        <v>0</v>
      </c>
    </row>
    <row r="15" spans="1:9" ht="12.75">
      <c r="A15" s="17"/>
      <c r="B15" s="17" t="s">
        <v>77</v>
      </c>
      <c r="C15" s="17" t="s">
        <v>136</v>
      </c>
      <c r="D15" s="36">
        <f>'Stavební rozpočet'!H58</f>
        <v>0</v>
      </c>
      <c r="E15" s="36">
        <f>'Stavební rozpočet'!I58</f>
        <v>0</v>
      </c>
      <c r="F15" s="36">
        <f>'Stavební rozpočet'!J58</f>
        <v>0</v>
      </c>
      <c r="G15" s="36">
        <f>'Stavební rozpočet'!L58</f>
        <v>0.7332899999999999</v>
      </c>
      <c r="H15" s="36" t="s">
        <v>226</v>
      </c>
      <c r="I15" s="36">
        <f t="shared" si="0"/>
        <v>0</v>
      </c>
    </row>
    <row r="16" spans="1:9" ht="12.75">
      <c r="A16" s="17"/>
      <c r="B16" s="17" t="s">
        <v>96</v>
      </c>
      <c r="C16" s="17" t="s">
        <v>159</v>
      </c>
      <c r="D16" s="36">
        <f>'Stavební rozpočet'!H95</f>
        <v>0</v>
      </c>
      <c r="E16" s="36">
        <f>'Stavební rozpočet'!I95</f>
        <v>0</v>
      </c>
      <c r="F16" s="36">
        <f>'Stavební rozpočet'!J95</f>
        <v>0</v>
      </c>
      <c r="G16" s="36">
        <f>'Stavební rozpočet'!L95</f>
        <v>0</v>
      </c>
      <c r="H16" s="36" t="s">
        <v>226</v>
      </c>
      <c r="I16" s="36">
        <f t="shared" si="0"/>
        <v>0</v>
      </c>
    </row>
    <row r="17" spans="1:9" ht="12.75">
      <c r="A17" s="17"/>
      <c r="B17" s="17" t="s">
        <v>99</v>
      </c>
      <c r="C17" s="17" t="s">
        <v>164</v>
      </c>
      <c r="D17" s="36">
        <f>'Stavební rozpočet'!H100</f>
        <v>0</v>
      </c>
      <c r="E17" s="36">
        <f>'Stavební rozpočet'!I100</f>
        <v>0</v>
      </c>
      <c r="F17" s="36">
        <f>'Stavební rozpočet'!J100</f>
        <v>0</v>
      </c>
      <c r="G17" s="36">
        <f>'Stavební rozpočet'!L100</f>
        <v>0</v>
      </c>
      <c r="H17" s="36" t="s">
        <v>226</v>
      </c>
      <c r="I17" s="36">
        <f t="shared" si="0"/>
        <v>0</v>
      </c>
    </row>
    <row r="19" spans="5:6" ht="12.75">
      <c r="E19" s="46" t="s">
        <v>186</v>
      </c>
      <c r="F19" s="49">
        <f>SUM(I11:I17)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81" t="s">
        <v>227</v>
      </c>
      <c r="B1" s="82"/>
      <c r="C1" s="82"/>
      <c r="D1" s="82"/>
      <c r="E1" s="82"/>
      <c r="F1" s="82"/>
      <c r="G1" s="82"/>
      <c r="H1" s="82"/>
    </row>
    <row r="2" spans="1:9" ht="12.75">
      <c r="A2" s="83" t="s">
        <v>1</v>
      </c>
      <c r="B2" s="84"/>
      <c r="C2" s="85" t="str">
        <f>'Stavební rozpočet'!D2</f>
        <v>REKONSTRUKCE HASIČÁRNY</v>
      </c>
      <c r="D2" s="71"/>
      <c r="E2" s="88" t="s">
        <v>180</v>
      </c>
      <c r="F2" s="88" t="str">
        <f>'Stavební rozpočet'!I2</f>
        <v>MĚSTO ŠLUKNOV</v>
      </c>
      <c r="G2" s="84"/>
      <c r="H2" s="89"/>
      <c r="I2" s="34"/>
    </row>
    <row r="3" spans="1:9" ht="12.75">
      <c r="A3" s="80"/>
      <c r="B3" s="73"/>
      <c r="C3" s="86"/>
      <c r="D3" s="86"/>
      <c r="E3" s="73"/>
      <c r="F3" s="73"/>
      <c r="G3" s="73"/>
      <c r="H3" s="78"/>
      <c r="I3" s="34"/>
    </row>
    <row r="4" spans="1:9" ht="12.75">
      <c r="A4" s="74" t="s">
        <v>2</v>
      </c>
      <c r="B4" s="73"/>
      <c r="C4" s="72" t="str">
        <f>'Stavební rozpočet'!D4</f>
        <v>ÚT</v>
      </c>
      <c r="D4" s="73"/>
      <c r="E4" s="72" t="s">
        <v>181</v>
      </c>
      <c r="F4" s="72" t="str">
        <f>'Stavební rozpočet'!I4</f>
        <v>ING.MATĚJKA</v>
      </c>
      <c r="G4" s="73"/>
      <c r="H4" s="78"/>
      <c r="I4" s="34"/>
    </row>
    <row r="5" spans="1:9" ht="12.75">
      <c r="A5" s="80"/>
      <c r="B5" s="73"/>
      <c r="C5" s="73"/>
      <c r="D5" s="73"/>
      <c r="E5" s="73"/>
      <c r="F5" s="73"/>
      <c r="G5" s="73"/>
      <c r="H5" s="78"/>
      <c r="I5" s="34"/>
    </row>
    <row r="6" spans="1:9" ht="12.75">
      <c r="A6" s="74" t="s">
        <v>3</v>
      </c>
      <c r="B6" s="73"/>
      <c r="C6" s="72" t="str">
        <f>'Stavební rozpočet'!D6</f>
        <v>ŠLUKNOV</v>
      </c>
      <c r="D6" s="73"/>
      <c r="E6" s="72" t="s">
        <v>182</v>
      </c>
      <c r="F6" s="72" t="str">
        <f>'Stavební rozpočet'!I6</f>
        <v>BUDE VYBRÁN</v>
      </c>
      <c r="G6" s="73"/>
      <c r="H6" s="78"/>
      <c r="I6" s="34"/>
    </row>
    <row r="7" spans="1:9" ht="12.75">
      <c r="A7" s="80"/>
      <c r="B7" s="73"/>
      <c r="C7" s="73"/>
      <c r="D7" s="73"/>
      <c r="E7" s="73"/>
      <c r="F7" s="73"/>
      <c r="G7" s="73"/>
      <c r="H7" s="78"/>
      <c r="I7" s="34"/>
    </row>
    <row r="8" spans="1:9" ht="12.75">
      <c r="A8" s="74" t="s">
        <v>183</v>
      </c>
      <c r="B8" s="73"/>
      <c r="C8" s="72" t="str">
        <f>'Stavební rozpočet'!I8</f>
        <v>IIČVDF</v>
      </c>
      <c r="D8" s="73"/>
      <c r="E8" s="72" t="s">
        <v>169</v>
      </c>
      <c r="F8" s="72" t="str">
        <f>'Stavební rozpočet'!G8</f>
        <v>28.03.2019</v>
      </c>
      <c r="G8" s="73"/>
      <c r="H8" s="78"/>
      <c r="I8" s="34"/>
    </row>
    <row r="9" spans="1:9" ht="12.75">
      <c r="A9" s="75"/>
      <c r="B9" s="76"/>
      <c r="C9" s="76"/>
      <c r="D9" s="76"/>
      <c r="E9" s="76"/>
      <c r="F9" s="76"/>
      <c r="G9" s="76"/>
      <c r="H9" s="79"/>
      <c r="I9" s="34"/>
    </row>
    <row r="10" spans="1:9" ht="12.75">
      <c r="A10" s="43" t="s">
        <v>5</v>
      </c>
      <c r="B10" s="44" t="s">
        <v>50</v>
      </c>
      <c r="C10" s="44" t="s">
        <v>51</v>
      </c>
      <c r="D10" s="44" t="s">
        <v>104</v>
      </c>
      <c r="E10" s="44" t="s">
        <v>170</v>
      </c>
      <c r="F10" s="44" t="s">
        <v>105</v>
      </c>
      <c r="G10" s="51" t="s">
        <v>176</v>
      </c>
      <c r="H10" s="41" t="s">
        <v>228</v>
      </c>
      <c r="I10" s="35"/>
    </row>
    <row r="11" spans="1:8" ht="12.75">
      <c r="A11" s="50"/>
      <c r="B11" s="50"/>
      <c r="C11" s="50"/>
      <c r="D11" s="50"/>
      <c r="E11" s="50"/>
      <c r="F11" s="50"/>
      <c r="G11" s="50"/>
      <c r="H11" s="50"/>
    </row>
    <row r="12" ht="11.25" customHeight="1">
      <c r="A12" s="9" t="s">
        <v>49</v>
      </c>
    </row>
    <row r="13" spans="1:7" ht="12.75">
      <c r="A13" s="72"/>
      <c r="B13" s="73"/>
      <c r="C13" s="73"/>
      <c r="D13" s="73"/>
      <c r="E13" s="73"/>
      <c r="F13" s="73"/>
      <c r="G13" s="73"/>
    </row>
  </sheetData>
  <sheetProtection/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13:G13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7"/>
      <c r="C1" s="114" t="s">
        <v>244</v>
      </c>
      <c r="D1" s="82"/>
      <c r="E1" s="82"/>
      <c r="F1" s="82"/>
      <c r="G1" s="82"/>
      <c r="H1" s="82"/>
      <c r="I1" s="82"/>
    </row>
    <row r="2" spans="1:10" ht="12.75">
      <c r="A2" s="83" t="s">
        <v>1</v>
      </c>
      <c r="B2" s="84"/>
      <c r="C2" s="85" t="str">
        <f>'Stavební rozpočet'!D2</f>
        <v>REKONSTRUKCE HASIČÁRNY</v>
      </c>
      <c r="D2" s="71"/>
      <c r="E2" s="88" t="s">
        <v>180</v>
      </c>
      <c r="F2" s="88" t="str">
        <f>'Stavební rozpočet'!I2</f>
        <v>MĚSTO ŠLUKNOV</v>
      </c>
      <c r="G2" s="84"/>
      <c r="H2" s="88" t="s">
        <v>269</v>
      </c>
      <c r="I2" s="115"/>
      <c r="J2" s="34"/>
    </row>
    <row r="3" spans="1:10" ht="12.75">
      <c r="A3" s="80"/>
      <c r="B3" s="73"/>
      <c r="C3" s="86"/>
      <c r="D3" s="86"/>
      <c r="E3" s="73"/>
      <c r="F3" s="73"/>
      <c r="G3" s="73"/>
      <c r="H3" s="73"/>
      <c r="I3" s="78"/>
      <c r="J3" s="34"/>
    </row>
    <row r="4" spans="1:10" ht="12.75">
      <c r="A4" s="74" t="s">
        <v>2</v>
      </c>
      <c r="B4" s="73"/>
      <c r="C4" s="72" t="str">
        <f>'Stavební rozpočet'!D4</f>
        <v>ÚT</v>
      </c>
      <c r="D4" s="73"/>
      <c r="E4" s="72" t="s">
        <v>181</v>
      </c>
      <c r="F4" s="72" t="str">
        <f>'Stavební rozpočet'!I4</f>
        <v>ING.MATĚJKA</v>
      </c>
      <c r="G4" s="73"/>
      <c r="H4" s="72" t="s">
        <v>269</v>
      </c>
      <c r="I4" s="113"/>
      <c r="J4" s="34"/>
    </row>
    <row r="5" spans="1:10" ht="12.75">
      <c r="A5" s="80"/>
      <c r="B5" s="73"/>
      <c r="C5" s="73"/>
      <c r="D5" s="73"/>
      <c r="E5" s="73"/>
      <c r="F5" s="73"/>
      <c r="G5" s="73"/>
      <c r="H5" s="73"/>
      <c r="I5" s="78"/>
      <c r="J5" s="34"/>
    </row>
    <row r="6" spans="1:10" ht="12.75">
      <c r="A6" s="74" t="s">
        <v>3</v>
      </c>
      <c r="B6" s="73"/>
      <c r="C6" s="72" t="str">
        <f>'Stavební rozpočet'!D6</f>
        <v>ŠLUKNOV</v>
      </c>
      <c r="D6" s="73"/>
      <c r="E6" s="72" t="s">
        <v>182</v>
      </c>
      <c r="F6" s="72" t="str">
        <f>'Stavební rozpočet'!I6</f>
        <v>BUDE VYBRÁN</v>
      </c>
      <c r="G6" s="73"/>
      <c r="H6" s="72" t="s">
        <v>269</v>
      </c>
      <c r="I6" s="113"/>
      <c r="J6" s="34"/>
    </row>
    <row r="7" spans="1:10" ht="12.75">
      <c r="A7" s="80"/>
      <c r="B7" s="73"/>
      <c r="C7" s="73"/>
      <c r="D7" s="73"/>
      <c r="E7" s="73"/>
      <c r="F7" s="73"/>
      <c r="G7" s="73"/>
      <c r="H7" s="73"/>
      <c r="I7" s="78"/>
      <c r="J7" s="34"/>
    </row>
    <row r="8" spans="1:10" ht="12.75">
      <c r="A8" s="74" t="s">
        <v>167</v>
      </c>
      <c r="B8" s="73"/>
      <c r="C8" s="72" t="str">
        <f>'Stavební rozpočet'!G4</f>
        <v> </v>
      </c>
      <c r="D8" s="73"/>
      <c r="E8" s="72" t="s">
        <v>168</v>
      </c>
      <c r="F8" s="72" t="str">
        <f>'Stavební rozpočet'!G6</f>
        <v> </v>
      </c>
      <c r="G8" s="73"/>
      <c r="H8" s="77" t="s">
        <v>270</v>
      </c>
      <c r="I8" s="113" t="s">
        <v>48</v>
      </c>
      <c r="J8" s="34"/>
    </row>
    <row r="9" spans="1:10" ht="12.75">
      <c r="A9" s="80"/>
      <c r="B9" s="73"/>
      <c r="C9" s="73"/>
      <c r="D9" s="73"/>
      <c r="E9" s="73"/>
      <c r="F9" s="73"/>
      <c r="G9" s="73"/>
      <c r="H9" s="73"/>
      <c r="I9" s="78"/>
      <c r="J9" s="34"/>
    </row>
    <row r="10" spans="1:10" ht="12.75">
      <c r="A10" s="74" t="s">
        <v>4</v>
      </c>
      <c r="B10" s="73"/>
      <c r="C10" s="72" t="str">
        <f>'Stavební rozpočet'!D8</f>
        <v> </v>
      </c>
      <c r="D10" s="73"/>
      <c r="E10" s="72" t="s">
        <v>183</v>
      </c>
      <c r="F10" s="72" t="str">
        <f>'Stavební rozpočet'!I8</f>
        <v>IIČVDF</v>
      </c>
      <c r="G10" s="73"/>
      <c r="H10" s="77" t="s">
        <v>271</v>
      </c>
      <c r="I10" s="111" t="str">
        <f>'Stavební rozpočet'!G8</f>
        <v>28.03.2019</v>
      </c>
      <c r="J10" s="34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12"/>
      <c r="J11" s="34"/>
    </row>
    <row r="12" spans="1:9" ht="23.25" customHeight="1">
      <c r="A12" s="105" t="s">
        <v>229</v>
      </c>
      <c r="B12" s="106"/>
      <c r="C12" s="106"/>
      <c r="D12" s="106"/>
      <c r="E12" s="106"/>
      <c r="F12" s="106"/>
      <c r="G12" s="106"/>
      <c r="H12" s="106"/>
      <c r="I12" s="106"/>
    </row>
    <row r="13" spans="1:10" ht="26.25" customHeight="1">
      <c r="A13" s="52" t="s">
        <v>230</v>
      </c>
      <c r="B13" s="107" t="s">
        <v>242</v>
      </c>
      <c r="C13" s="108"/>
      <c r="D13" s="52" t="s">
        <v>245</v>
      </c>
      <c r="E13" s="107" t="s">
        <v>254</v>
      </c>
      <c r="F13" s="108"/>
      <c r="G13" s="52" t="s">
        <v>255</v>
      </c>
      <c r="H13" s="107" t="s">
        <v>272</v>
      </c>
      <c r="I13" s="108"/>
      <c r="J13" s="34"/>
    </row>
    <row r="14" spans="1:10" ht="15" customHeight="1">
      <c r="A14" s="53" t="s">
        <v>231</v>
      </c>
      <c r="B14" s="57" t="s">
        <v>243</v>
      </c>
      <c r="C14" s="60">
        <f>SUM('Stavební rozpočet'!AB12:AB102)</f>
        <v>0</v>
      </c>
      <c r="D14" s="103" t="s">
        <v>246</v>
      </c>
      <c r="E14" s="104"/>
      <c r="F14" s="60">
        <v>0</v>
      </c>
      <c r="G14" s="103" t="s">
        <v>256</v>
      </c>
      <c r="H14" s="104"/>
      <c r="I14" s="60">
        <f>ROUND(C22*(1.2/100),2)</f>
        <v>0</v>
      </c>
      <c r="J14" s="34"/>
    </row>
    <row r="15" spans="1:10" ht="15" customHeight="1">
      <c r="A15" s="54"/>
      <c r="B15" s="57" t="s">
        <v>191</v>
      </c>
      <c r="C15" s="60">
        <f>SUM('Stavební rozpočet'!AC12:AC102)</f>
        <v>0</v>
      </c>
      <c r="D15" s="103" t="s">
        <v>247</v>
      </c>
      <c r="E15" s="104"/>
      <c r="F15" s="60">
        <v>0</v>
      </c>
      <c r="G15" s="103" t="s">
        <v>257</v>
      </c>
      <c r="H15" s="104"/>
      <c r="I15" s="60">
        <v>0</v>
      </c>
      <c r="J15" s="34"/>
    </row>
    <row r="16" spans="1:10" ht="15" customHeight="1">
      <c r="A16" s="53" t="s">
        <v>232</v>
      </c>
      <c r="B16" s="57" t="s">
        <v>243</v>
      </c>
      <c r="C16" s="60">
        <f>SUM('Stavební rozpočet'!AD12:AD102)</f>
        <v>0</v>
      </c>
      <c r="D16" s="103" t="s">
        <v>248</v>
      </c>
      <c r="E16" s="104"/>
      <c r="F16" s="60">
        <v>0</v>
      </c>
      <c r="G16" s="103" t="s">
        <v>258</v>
      </c>
      <c r="H16" s="104"/>
      <c r="I16" s="60">
        <v>0</v>
      </c>
      <c r="J16" s="34"/>
    </row>
    <row r="17" spans="1:10" ht="15" customHeight="1">
      <c r="A17" s="54"/>
      <c r="B17" s="57" t="s">
        <v>191</v>
      </c>
      <c r="C17" s="60">
        <f>SUM('Stavební rozpočet'!AE12:AE102)</f>
        <v>0</v>
      </c>
      <c r="D17" s="103"/>
      <c r="E17" s="104"/>
      <c r="F17" s="61"/>
      <c r="G17" s="103" t="s">
        <v>259</v>
      </c>
      <c r="H17" s="104"/>
      <c r="I17" s="60">
        <v>0</v>
      </c>
      <c r="J17" s="34"/>
    </row>
    <row r="18" spans="1:10" ht="15" customHeight="1">
      <c r="A18" s="53" t="s">
        <v>233</v>
      </c>
      <c r="B18" s="57" t="s">
        <v>243</v>
      </c>
      <c r="C18" s="60">
        <f>SUM('Stavební rozpočet'!AF12:AF102)</f>
        <v>0</v>
      </c>
      <c r="D18" s="103"/>
      <c r="E18" s="104"/>
      <c r="F18" s="61"/>
      <c r="G18" s="103" t="s">
        <v>260</v>
      </c>
      <c r="H18" s="104"/>
      <c r="I18" s="60">
        <v>0</v>
      </c>
      <c r="J18" s="34"/>
    </row>
    <row r="19" spans="1:10" ht="15" customHeight="1">
      <c r="A19" s="54"/>
      <c r="B19" s="57" t="s">
        <v>191</v>
      </c>
      <c r="C19" s="60">
        <f>SUM('Stavební rozpočet'!AG12:AG102)</f>
        <v>0</v>
      </c>
      <c r="D19" s="103"/>
      <c r="E19" s="104"/>
      <c r="F19" s="61"/>
      <c r="G19" s="103" t="s">
        <v>261</v>
      </c>
      <c r="H19" s="104"/>
      <c r="I19" s="60">
        <v>0</v>
      </c>
      <c r="J19" s="34"/>
    </row>
    <row r="20" spans="1:10" ht="15" customHeight="1">
      <c r="A20" s="101" t="s">
        <v>234</v>
      </c>
      <c r="B20" s="102"/>
      <c r="C20" s="60">
        <f>SUM('Stavební rozpočet'!AH12:AH102)</f>
        <v>0</v>
      </c>
      <c r="D20" s="103"/>
      <c r="E20" s="104"/>
      <c r="F20" s="61"/>
      <c r="G20" s="103"/>
      <c r="H20" s="104"/>
      <c r="I20" s="61"/>
      <c r="J20" s="34"/>
    </row>
    <row r="21" spans="1:10" ht="15" customHeight="1">
      <c r="A21" s="101" t="s">
        <v>235</v>
      </c>
      <c r="B21" s="102"/>
      <c r="C21" s="60">
        <f>SUM('Stavební rozpočet'!Z12:Z102)</f>
        <v>0</v>
      </c>
      <c r="D21" s="103"/>
      <c r="E21" s="104"/>
      <c r="F21" s="61"/>
      <c r="G21" s="103"/>
      <c r="H21" s="104"/>
      <c r="I21" s="61"/>
      <c r="J21" s="34"/>
    </row>
    <row r="22" spans="1:10" ht="16.5" customHeight="1">
      <c r="A22" s="101" t="s">
        <v>236</v>
      </c>
      <c r="B22" s="102"/>
      <c r="C22" s="60">
        <f>SUM(C14:C21)</f>
        <v>0</v>
      </c>
      <c r="D22" s="101" t="s">
        <v>249</v>
      </c>
      <c r="E22" s="102"/>
      <c r="F22" s="60">
        <f>SUM(F14:F21)</f>
        <v>0</v>
      </c>
      <c r="G22" s="101" t="s">
        <v>262</v>
      </c>
      <c r="H22" s="102"/>
      <c r="I22" s="60">
        <f>SUM(I14:I21)</f>
        <v>0</v>
      </c>
      <c r="J22" s="34"/>
    </row>
    <row r="23" spans="1:10" ht="15" customHeight="1">
      <c r="A23" s="8"/>
      <c r="B23" s="8"/>
      <c r="C23" s="58"/>
      <c r="D23" s="101" t="s">
        <v>250</v>
      </c>
      <c r="E23" s="102"/>
      <c r="F23" s="62">
        <v>0</v>
      </c>
      <c r="G23" s="101" t="s">
        <v>263</v>
      </c>
      <c r="H23" s="102"/>
      <c r="I23" s="60">
        <v>0</v>
      </c>
      <c r="J23" s="34"/>
    </row>
    <row r="24" spans="4:10" ht="15" customHeight="1">
      <c r="D24" s="8"/>
      <c r="E24" s="8"/>
      <c r="F24" s="63"/>
      <c r="G24" s="101" t="s">
        <v>264</v>
      </c>
      <c r="H24" s="102"/>
      <c r="I24" s="60">
        <v>0</v>
      </c>
      <c r="J24" s="34"/>
    </row>
    <row r="25" spans="6:10" ht="15" customHeight="1">
      <c r="F25" s="64"/>
      <c r="G25" s="101" t="s">
        <v>265</v>
      </c>
      <c r="H25" s="102"/>
      <c r="I25" s="60">
        <v>0</v>
      </c>
      <c r="J25" s="34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96" t="s">
        <v>237</v>
      </c>
      <c r="B27" s="97"/>
      <c r="C27" s="65">
        <f>SUM('Stavební rozpočet'!AJ12:AJ102)</f>
        <v>0</v>
      </c>
      <c r="D27" s="59"/>
      <c r="E27" s="7"/>
      <c r="F27" s="7"/>
      <c r="G27" s="7"/>
      <c r="H27" s="7"/>
      <c r="I27" s="7"/>
    </row>
    <row r="28" spans="1:10" ht="15" customHeight="1">
      <c r="A28" s="96" t="s">
        <v>238</v>
      </c>
      <c r="B28" s="97"/>
      <c r="C28" s="65">
        <f>SUM('Stavební rozpočet'!AK12:AK102)</f>
        <v>0</v>
      </c>
      <c r="D28" s="96" t="s">
        <v>251</v>
      </c>
      <c r="E28" s="97"/>
      <c r="F28" s="65">
        <f>ROUND(C28*(15/100),2)</f>
        <v>0</v>
      </c>
      <c r="G28" s="96" t="s">
        <v>266</v>
      </c>
      <c r="H28" s="97"/>
      <c r="I28" s="65">
        <f>SUM(C27:C29)</f>
        <v>0</v>
      </c>
      <c r="J28" s="34"/>
    </row>
    <row r="29" spans="1:10" ht="15" customHeight="1">
      <c r="A29" s="96" t="s">
        <v>239</v>
      </c>
      <c r="B29" s="97"/>
      <c r="C29" s="65">
        <f>SUM('Stavební rozpočet'!AL12:AL102)+(F22+I22+F23+I23+I24+I25)</f>
        <v>0</v>
      </c>
      <c r="D29" s="96" t="s">
        <v>252</v>
      </c>
      <c r="E29" s="97"/>
      <c r="F29" s="65">
        <f>ROUND(C29*(21/100),2)</f>
        <v>0</v>
      </c>
      <c r="G29" s="96" t="s">
        <v>267</v>
      </c>
      <c r="H29" s="97"/>
      <c r="I29" s="65">
        <f>SUM(F28:F29)+I28</f>
        <v>0</v>
      </c>
      <c r="J29" s="34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98" t="s">
        <v>240</v>
      </c>
      <c r="B31" s="99"/>
      <c r="C31" s="100"/>
      <c r="D31" s="98" t="s">
        <v>253</v>
      </c>
      <c r="E31" s="99"/>
      <c r="F31" s="100"/>
      <c r="G31" s="98" t="s">
        <v>268</v>
      </c>
      <c r="H31" s="99"/>
      <c r="I31" s="100"/>
      <c r="J31" s="35"/>
    </row>
    <row r="32" spans="1:10" ht="14.25" customHeight="1">
      <c r="A32" s="90"/>
      <c r="B32" s="91"/>
      <c r="C32" s="92"/>
      <c r="D32" s="90"/>
      <c r="E32" s="91"/>
      <c r="F32" s="92"/>
      <c r="G32" s="90"/>
      <c r="H32" s="91"/>
      <c r="I32" s="92"/>
      <c r="J32" s="35"/>
    </row>
    <row r="33" spans="1:10" ht="14.25" customHeight="1">
      <c r="A33" s="90"/>
      <c r="B33" s="91"/>
      <c r="C33" s="92"/>
      <c r="D33" s="90"/>
      <c r="E33" s="91"/>
      <c r="F33" s="92"/>
      <c r="G33" s="90"/>
      <c r="H33" s="91"/>
      <c r="I33" s="92"/>
      <c r="J33" s="35"/>
    </row>
    <row r="34" spans="1:10" ht="14.25" customHeight="1">
      <c r="A34" s="90"/>
      <c r="B34" s="91"/>
      <c r="C34" s="92"/>
      <c r="D34" s="90"/>
      <c r="E34" s="91"/>
      <c r="F34" s="92"/>
      <c r="G34" s="90"/>
      <c r="H34" s="91"/>
      <c r="I34" s="92"/>
      <c r="J34" s="35"/>
    </row>
    <row r="35" spans="1:10" ht="14.25" customHeight="1">
      <c r="A35" s="93" t="s">
        <v>241</v>
      </c>
      <c r="B35" s="94"/>
      <c r="C35" s="95"/>
      <c r="D35" s="93" t="s">
        <v>241</v>
      </c>
      <c r="E35" s="94"/>
      <c r="F35" s="95"/>
      <c r="G35" s="93" t="s">
        <v>241</v>
      </c>
      <c r="H35" s="94"/>
      <c r="I35" s="95"/>
      <c r="J35" s="35"/>
    </row>
    <row r="36" spans="1:9" ht="11.25" customHeight="1">
      <c r="A36" s="56" t="s">
        <v>49</v>
      </c>
      <c r="B36" s="50"/>
      <c r="C36" s="50"/>
      <c r="D36" s="50"/>
      <c r="E36" s="50"/>
      <c r="F36" s="50"/>
      <c r="G36" s="50"/>
      <c r="H36" s="50"/>
      <c r="I36" s="50"/>
    </row>
    <row r="37" spans="1:9" ht="12.75">
      <c r="A37" s="72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Martin Chroust</cp:lastModifiedBy>
  <dcterms:modified xsi:type="dcterms:W3CDTF">2019-04-17T06:07:26Z</dcterms:modified>
  <cp:category/>
  <cp:version/>
  <cp:contentType/>
  <cp:contentStatus/>
</cp:coreProperties>
</file>