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9405"/>
  </bookViews>
  <sheets>
    <sheet name="Stavební rozpočet" sheetId="1" r:id="rId1"/>
    <sheet name="Stavební rozpočet - součet" sheetId="2" r:id="rId2"/>
    <sheet name="Krycí list rozpočtu" sheetId="3" r:id="rId3"/>
    <sheet name="VORN" sheetId="4" state="hidden" r:id="rId4"/>
  </sheets>
  <definedNames>
    <definedName name="vorn_sum">VORN!$I$45</definedName>
  </definedNames>
  <calcPr calcId="144525"/>
</workbook>
</file>

<file path=xl/calcChain.xml><?xml version="1.0" encoding="utf-8"?>
<calcChain xmlns="http://schemas.openxmlformats.org/spreadsheetml/2006/main">
  <c r="F44" i="4" l="1"/>
  <c r="I44" i="4" s="1"/>
  <c r="F43" i="4"/>
  <c r="I43" i="4" s="1"/>
  <c r="F42" i="4"/>
  <c r="I42" i="4" s="1"/>
  <c r="F41" i="4"/>
  <c r="I41" i="4" s="1"/>
  <c r="F40" i="4"/>
  <c r="I40" i="4" s="1"/>
  <c r="F39" i="4"/>
  <c r="I39" i="4" s="1"/>
  <c r="F38" i="4"/>
  <c r="I38" i="4" s="1"/>
  <c r="F36" i="4"/>
  <c r="I36" i="4" s="1"/>
  <c r="I26" i="4"/>
  <c r="I25" i="4"/>
  <c r="I18" i="3" s="1"/>
  <c r="I24" i="4"/>
  <c r="I23" i="4"/>
  <c r="I22" i="4"/>
  <c r="I21" i="4"/>
  <c r="I27" i="4" s="1"/>
  <c r="I17" i="4"/>
  <c r="I16" i="4"/>
  <c r="I15" i="4"/>
  <c r="I18" i="4" s="1"/>
  <c r="I10" i="4"/>
  <c r="F10" i="4"/>
  <c r="C10" i="4"/>
  <c r="F8" i="4"/>
  <c r="C8" i="4"/>
  <c r="F6" i="4"/>
  <c r="C6" i="4"/>
  <c r="F4" i="4"/>
  <c r="C4" i="4"/>
  <c r="F2" i="4"/>
  <c r="C2" i="4"/>
  <c r="I19" i="3"/>
  <c r="I17" i="3"/>
  <c r="I16" i="3"/>
  <c r="F16" i="3"/>
  <c r="I15" i="3"/>
  <c r="F15" i="3"/>
  <c r="I14" i="3"/>
  <c r="F14" i="3"/>
  <c r="F22" i="3" s="1"/>
  <c r="I10" i="3"/>
  <c r="F10" i="3"/>
  <c r="C10" i="3"/>
  <c r="F8" i="3"/>
  <c r="C8" i="3"/>
  <c r="F6" i="3"/>
  <c r="C6" i="3"/>
  <c r="F4" i="3"/>
  <c r="C4" i="3"/>
  <c r="F2" i="3"/>
  <c r="C2" i="3"/>
  <c r="I16" i="2"/>
  <c r="G8" i="2"/>
  <c r="C8" i="2"/>
  <c r="G6" i="2"/>
  <c r="C6" i="2"/>
  <c r="G4" i="2"/>
  <c r="C4" i="2"/>
  <c r="G2" i="2"/>
  <c r="C2" i="2"/>
  <c r="BO122" i="1"/>
  <c r="BJ122" i="1"/>
  <c r="BF122" i="1"/>
  <c r="BD122" i="1"/>
  <c r="AX122" i="1"/>
  <c r="AP122" i="1"/>
  <c r="BI122" i="1" s="1"/>
  <c r="AO122" i="1"/>
  <c r="BH122" i="1" s="1"/>
  <c r="AK122" i="1"/>
  <c r="AJ122" i="1"/>
  <c r="AH122" i="1"/>
  <c r="AG122" i="1"/>
  <c r="AF122" i="1"/>
  <c r="AE122" i="1"/>
  <c r="AD122" i="1"/>
  <c r="AC122" i="1"/>
  <c r="AB122" i="1"/>
  <c r="Z122" i="1"/>
  <c r="J122" i="1"/>
  <c r="AL122" i="1" s="1"/>
  <c r="I122" i="1"/>
  <c r="H122" i="1"/>
  <c r="BO120" i="1"/>
  <c r="F37" i="4" s="1"/>
  <c r="I37" i="4" s="1"/>
  <c r="BJ120" i="1"/>
  <c r="BF120" i="1"/>
  <c r="BD120" i="1"/>
  <c r="AX120" i="1"/>
  <c r="AP120" i="1"/>
  <c r="BI120" i="1" s="1"/>
  <c r="AO120" i="1"/>
  <c r="BH120" i="1" s="1"/>
  <c r="AK120" i="1"/>
  <c r="AJ120" i="1"/>
  <c r="AH120" i="1"/>
  <c r="AG120" i="1"/>
  <c r="AF120" i="1"/>
  <c r="AE120" i="1"/>
  <c r="AD120" i="1"/>
  <c r="AC120" i="1"/>
  <c r="AB120" i="1"/>
  <c r="Z120" i="1"/>
  <c r="J120" i="1"/>
  <c r="AL120" i="1" s="1"/>
  <c r="AU119" i="1" s="1"/>
  <c r="I120" i="1"/>
  <c r="H120" i="1"/>
  <c r="AT119" i="1"/>
  <c r="AS119" i="1"/>
  <c r="J119" i="1"/>
  <c r="G18" i="2" s="1"/>
  <c r="I18" i="2" s="1"/>
  <c r="I119" i="1"/>
  <c r="F18" i="2" s="1"/>
  <c r="H119" i="1"/>
  <c r="E18" i="2" s="1"/>
  <c r="BM117" i="1"/>
  <c r="F35" i="4" s="1"/>
  <c r="I35" i="4" s="1"/>
  <c r="I45" i="4" s="1"/>
  <c r="I24" i="3" s="1"/>
  <c r="BJ117" i="1"/>
  <c r="BF117" i="1"/>
  <c r="BD117" i="1"/>
  <c r="AX117" i="1"/>
  <c r="AP117" i="1"/>
  <c r="BI117" i="1" s="1"/>
  <c r="AO117" i="1"/>
  <c r="BH117" i="1" s="1"/>
  <c r="AK117" i="1"/>
  <c r="AJ117" i="1"/>
  <c r="AH117" i="1"/>
  <c r="AG117" i="1"/>
  <c r="AF117" i="1"/>
  <c r="AE117" i="1"/>
  <c r="AD117" i="1"/>
  <c r="AC117" i="1"/>
  <c r="AB117" i="1"/>
  <c r="Z117" i="1"/>
  <c r="J117" i="1"/>
  <c r="AL117" i="1" s="1"/>
  <c r="AU116" i="1" s="1"/>
  <c r="I117" i="1"/>
  <c r="H117" i="1"/>
  <c r="AT116" i="1"/>
  <c r="AS116" i="1"/>
  <c r="J116" i="1"/>
  <c r="G17" i="2" s="1"/>
  <c r="I17" i="2" s="1"/>
  <c r="I116" i="1"/>
  <c r="F17" i="2" s="1"/>
  <c r="H116" i="1"/>
  <c r="E17" i="2" s="1"/>
  <c r="I115" i="1"/>
  <c r="F16" i="2" s="1"/>
  <c r="BJ113" i="1"/>
  <c r="BF113" i="1"/>
  <c r="BD113" i="1"/>
  <c r="AX113" i="1"/>
  <c r="AP113" i="1"/>
  <c r="BI113" i="1" s="1"/>
  <c r="AG113" i="1" s="1"/>
  <c r="AO113" i="1"/>
  <c r="BH113" i="1" s="1"/>
  <c r="AF113" i="1" s="1"/>
  <c r="AK113" i="1"/>
  <c r="AJ113" i="1"/>
  <c r="AH113" i="1"/>
  <c r="AE113" i="1"/>
  <c r="AD113" i="1"/>
  <c r="AC113" i="1"/>
  <c r="AB113" i="1"/>
  <c r="Z113" i="1"/>
  <c r="J113" i="1"/>
  <c r="AL113" i="1" s="1"/>
  <c r="I113" i="1"/>
  <c r="H113" i="1"/>
  <c r="BJ111" i="1"/>
  <c r="BF111" i="1"/>
  <c r="BD111" i="1"/>
  <c r="AW111" i="1"/>
  <c r="AP111" i="1"/>
  <c r="BI111" i="1" s="1"/>
  <c r="AG111" i="1" s="1"/>
  <c r="AO111" i="1"/>
  <c r="BH111" i="1" s="1"/>
  <c r="AF111" i="1" s="1"/>
  <c r="AL111" i="1"/>
  <c r="AK111" i="1"/>
  <c r="AJ111" i="1"/>
  <c r="AH111" i="1"/>
  <c r="AE111" i="1"/>
  <c r="AD111" i="1"/>
  <c r="AC111" i="1"/>
  <c r="AB111" i="1"/>
  <c r="Z111" i="1"/>
  <c r="J111" i="1"/>
  <c r="I111" i="1"/>
  <c r="H111" i="1"/>
  <c r="BJ109" i="1"/>
  <c r="BF109" i="1"/>
  <c r="BD109" i="1"/>
  <c r="AX109" i="1"/>
  <c r="AP109" i="1"/>
  <c r="BI109" i="1" s="1"/>
  <c r="AG109" i="1" s="1"/>
  <c r="AO109" i="1"/>
  <c r="BH109" i="1" s="1"/>
  <c r="AF109" i="1" s="1"/>
  <c r="AK109" i="1"/>
  <c r="AJ109" i="1"/>
  <c r="AH109" i="1"/>
  <c r="AE109" i="1"/>
  <c r="AD109" i="1"/>
  <c r="AC109" i="1"/>
  <c r="AB109" i="1"/>
  <c r="Z109" i="1"/>
  <c r="J109" i="1"/>
  <c r="AL109" i="1" s="1"/>
  <c r="I109" i="1"/>
  <c r="H109" i="1"/>
  <c r="BJ107" i="1"/>
  <c r="BF107" i="1"/>
  <c r="BD107" i="1"/>
  <c r="AW107" i="1"/>
  <c r="AP107" i="1"/>
  <c r="BI107" i="1" s="1"/>
  <c r="AG107" i="1" s="1"/>
  <c r="AO107" i="1"/>
  <c r="BH107" i="1" s="1"/>
  <c r="AF107" i="1" s="1"/>
  <c r="AL107" i="1"/>
  <c r="AK107" i="1"/>
  <c r="AJ107" i="1"/>
  <c r="AH107" i="1"/>
  <c r="AE107" i="1"/>
  <c r="AD107" i="1"/>
  <c r="AC107" i="1"/>
  <c r="AB107" i="1"/>
  <c r="Z107" i="1"/>
  <c r="J107" i="1"/>
  <c r="I107" i="1"/>
  <c r="H107" i="1"/>
  <c r="BJ105" i="1"/>
  <c r="BF105" i="1"/>
  <c r="BD105" i="1"/>
  <c r="AX105" i="1"/>
  <c r="AP105" i="1"/>
  <c r="BI105" i="1" s="1"/>
  <c r="AC105" i="1" s="1"/>
  <c r="AO105" i="1"/>
  <c r="BH105" i="1" s="1"/>
  <c r="AK105" i="1"/>
  <c r="AJ105" i="1"/>
  <c r="AH105" i="1"/>
  <c r="AG105" i="1"/>
  <c r="AF105" i="1"/>
  <c r="AE105" i="1"/>
  <c r="AD105" i="1"/>
  <c r="AB105" i="1"/>
  <c r="Z105" i="1"/>
  <c r="J105" i="1"/>
  <c r="AL105" i="1" s="1"/>
  <c r="I105" i="1"/>
  <c r="H105" i="1"/>
  <c r="BJ103" i="1"/>
  <c r="BF103" i="1"/>
  <c r="BD103" i="1"/>
  <c r="AW103" i="1"/>
  <c r="AP103" i="1"/>
  <c r="AO103" i="1"/>
  <c r="BH103" i="1" s="1"/>
  <c r="AF103" i="1" s="1"/>
  <c r="AL103" i="1"/>
  <c r="AK103" i="1"/>
  <c r="AJ103" i="1"/>
  <c r="AH103" i="1"/>
  <c r="AE103" i="1"/>
  <c r="AD103" i="1"/>
  <c r="AC103" i="1"/>
  <c r="AB103" i="1"/>
  <c r="Z103" i="1"/>
  <c r="J103" i="1"/>
  <c r="H103" i="1"/>
  <c r="BJ101" i="1"/>
  <c r="BF101" i="1"/>
  <c r="BD101" i="1"/>
  <c r="AX101" i="1"/>
  <c r="AP101" i="1"/>
  <c r="BI101" i="1" s="1"/>
  <c r="AO101" i="1"/>
  <c r="AK101" i="1"/>
  <c r="AJ101" i="1"/>
  <c r="AH101" i="1"/>
  <c r="AG101" i="1"/>
  <c r="AE101" i="1"/>
  <c r="AD101" i="1"/>
  <c r="AC101" i="1"/>
  <c r="AB101" i="1"/>
  <c r="Z101" i="1"/>
  <c r="J101" i="1"/>
  <c r="AL101" i="1" s="1"/>
  <c r="I101" i="1"/>
  <c r="BJ99" i="1"/>
  <c r="BF99" i="1"/>
  <c r="BD99" i="1"/>
  <c r="AX99" i="1"/>
  <c r="AP99" i="1"/>
  <c r="BI99" i="1" s="1"/>
  <c r="AG99" i="1" s="1"/>
  <c r="AO99" i="1"/>
  <c r="AW99" i="1" s="1"/>
  <c r="BC99" i="1" s="1"/>
  <c r="AK99" i="1"/>
  <c r="AJ99" i="1"/>
  <c r="AH99" i="1"/>
  <c r="AE99" i="1"/>
  <c r="AD99" i="1"/>
  <c r="AC99" i="1"/>
  <c r="AB99" i="1"/>
  <c r="Z99" i="1"/>
  <c r="J99" i="1"/>
  <c r="AL99" i="1" s="1"/>
  <c r="I99" i="1"/>
  <c r="H99" i="1"/>
  <c r="BJ97" i="1"/>
  <c r="BI97" i="1"/>
  <c r="AG97" i="1" s="1"/>
  <c r="BF97" i="1"/>
  <c r="BD97" i="1"/>
  <c r="AW97" i="1"/>
  <c r="AV97" i="1" s="1"/>
  <c r="AP97" i="1"/>
  <c r="AX97" i="1" s="1"/>
  <c r="AO97" i="1"/>
  <c r="BH97" i="1" s="1"/>
  <c r="AF97" i="1" s="1"/>
  <c r="AL97" i="1"/>
  <c r="AK97" i="1"/>
  <c r="AJ97" i="1"/>
  <c r="AH97" i="1"/>
  <c r="AE97" i="1"/>
  <c r="AD97" i="1"/>
  <c r="AC97" i="1"/>
  <c r="AB97" i="1"/>
  <c r="Z97" i="1"/>
  <c r="J97" i="1"/>
  <c r="I97" i="1"/>
  <c r="H97" i="1"/>
  <c r="BJ95" i="1"/>
  <c r="BF95" i="1"/>
  <c r="BD95" i="1"/>
  <c r="AX95" i="1"/>
  <c r="AP95" i="1"/>
  <c r="BI95" i="1" s="1"/>
  <c r="AG95" i="1" s="1"/>
  <c r="AO95" i="1"/>
  <c r="AW95" i="1" s="1"/>
  <c r="AK95" i="1"/>
  <c r="AT92" i="1" s="1"/>
  <c r="AJ95" i="1"/>
  <c r="AH95" i="1"/>
  <c r="AE95" i="1"/>
  <c r="AD95" i="1"/>
  <c r="AC95" i="1"/>
  <c r="AB95" i="1"/>
  <c r="Z95" i="1"/>
  <c r="J95" i="1"/>
  <c r="I95" i="1"/>
  <c r="H95" i="1"/>
  <c r="BJ93" i="1"/>
  <c r="BF93" i="1"/>
  <c r="BD93" i="1"/>
  <c r="AW93" i="1"/>
  <c r="AP93" i="1"/>
  <c r="AX93" i="1" s="1"/>
  <c r="BC93" i="1" s="1"/>
  <c r="AO93" i="1"/>
  <c r="BH93" i="1" s="1"/>
  <c r="AF93" i="1" s="1"/>
  <c r="AL93" i="1"/>
  <c r="AK93" i="1"/>
  <c r="AJ93" i="1"/>
  <c r="AH93" i="1"/>
  <c r="AE93" i="1"/>
  <c r="AD93" i="1"/>
  <c r="AC93" i="1"/>
  <c r="AB93" i="1"/>
  <c r="Z93" i="1"/>
  <c r="J93" i="1"/>
  <c r="H93" i="1"/>
  <c r="AS92" i="1"/>
  <c r="BJ90" i="1"/>
  <c r="BF90" i="1"/>
  <c r="BD90" i="1"/>
  <c r="AX90" i="1"/>
  <c r="AP90" i="1"/>
  <c r="BI90" i="1" s="1"/>
  <c r="AG90" i="1" s="1"/>
  <c r="AO90" i="1"/>
  <c r="AW90" i="1" s="1"/>
  <c r="AK90" i="1"/>
  <c r="AJ90" i="1"/>
  <c r="AH90" i="1"/>
  <c r="AE90" i="1"/>
  <c r="AD90" i="1"/>
  <c r="AC90" i="1"/>
  <c r="AB90" i="1"/>
  <c r="Z90" i="1"/>
  <c r="J90" i="1"/>
  <c r="AL90" i="1" s="1"/>
  <c r="I90" i="1"/>
  <c r="H90" i="1"/>
  <c r="BJ88" i="1"/>
  <c r="BF88" i="1"/>
  <c r="BD88" i="1"/>
  <c r="AW88" i="1"/>
  <c r="AP88" i="1"/>
  <c r="AX88" i="1" s="1"/>
  <c r="BC88" i="1" s="1"/>
  <c r="AO88" i="1"/>
  <c r="BH88" i="1" s="1"/>
  <c r="AF88" i="1" s="1"/>
  <c r="AL88" i="1"/>
  <c r="AK88" i="1"/>
  <c r="AJ88" i="1"/>
  <c r="AS85" i="1" s="1"/>
  <c r="AH88" i="1"/>
  <c r="AE88" i="1"/>
  <c r="AD88" i="1"/>
  <c r="AC88" i="1"/>
  <c r="AB88" i="1"/>
  <c r="Z88" i="1"/>
  <c r="J88" i="1"/>
  <c r="I88" i="1"/>
  <c r="I85" i="1" s="1"/>
  <c r="F14" i="2" s="1"/>
  <c r="H88" i="1"/>
  <c r="BJ86" i="1"/>
  <c r="BF86" i="1"/>
  <c r="BD86" i="1"/>
  <c r="AX86" i="1"/>
  <c r="AP86" i="1"/>
  <c r="BI86" i="1" s="1"/>
  <c r="AG86" i="1" s="1"/>
  <c r="AO86" i="1"/>
  <c r="AW86" i="1" s="1"/>
  <c r="BC86" i="1" s="1"/>
  <c r="AK86" i="1"/>
  <c r="AJ86" i="1"/>
  <c r="AH86" i="1"/>
  <c r="AE86" i="1"/>
  <c r="AD86" i="1"/>
  <c r="AC86" i="1"/>
  <c r="AB86" i="1"/>
  <c r="Z86" i="1"/>
  <c r="J86" i="1"/>
  <c r="AL86" i="1" s="1"/>
  <c r="AU85" i="1" s="1"/>
  <c r="I86" i="1"/>
  <c r="H86" i="1"/>
  <c r="H85" i="1" s="1"/>
  <c r="E14" i="2" s="1"/>
  <c r="AT85" i="1"/>
  <c r="J85" i="1"/>
  <c r="G14" i="2" s="1"/>
  <c r="I14" i="2" s="1"/>
  <c r="BJ83" i="1"/>
  <c r="BF83" i="1"/>
  <c r="BD83" i="1"/>
  <c r="AW83" i="1"/>
  <c r="AP83" i="1"/>
  <c r="AX83" i="1" s="1"/>
  <c r="BC83" i="1" s="1"/>
  <c r="AO83" i="1"/>
  <c r="BH83" i="1" s="1"/>
  <c r="AF83" i="1" s="1"/>
  <c r="AL83" i="1"/>
  <c r="AK83" i="1"/>
  <c r="AJ83" i="1"/>
  <c r="AH83" i="1"/>
  <c r="AE83" i="1"/>
  <c r="AD83" i="1"/>
  <c r="AC83" i="1"/>
  <c r="AB83" i="1"/>
  <c r="Z83" i="1"/>
  <c r="J83" i="1"/>
  <c r="H83" i="1"/>
  <c r="BJ81" i="1"/>
  <c r="BF81" i="1"/>
  <c r="BD81" i="1"/>
  <c r="AX81" i="1"/>
  <c r="AP81" i="1"/>
  <c r="BI81" i="1" s="1"/>
  <c r="AG81" i="1" s="1"/>
  <c r="AO81" i="1"/>
  <c r="AW81" i="1" s="1"/>
  <c r="BC81" i="1" s="1"/>
  <c r="AK81" i="1"/>
  <c r="AJ81" i="1"/>
  <c r="AH81" i="1"/>
  <c r="AE81" i="1"/>
  <c r="AD81" i="1"/>
  <c r="AC81" i="1"/>
  <c r="AB81" i="1"/>
  <c r="Z81" i="1"/>
  <c r="J81" i="1"/>
  <c r="AL81" i="1" s="1"/>
  <c r="I81" i="1"/>
  <c r="H81" i="1"/>
  <c r="BJ79" i="1"/>
  <c r="BI79" i="1"/>
  <c r="AG79" i="1" s="1"/>
  <c r="BF79" i="1"/>
  <c r="BD79" i="1"/>
  <c r="AW79" i="1"/>
  <c r="AV79" i="1" s="1"/>
  <c r="AP79" i="1"/>
  <c r="AX79" i="1" s="1"/>
  <c r="AO79" i="1"/>
  <c r="BH79" i="1" s="1"/>
  <c r="AF79" i="1" s="1"/>
  <c r="AL79" i="1"/>
  <c r="AK79" i="1"/>
  <c r="AJ79" i="1"/>
  <c r="AH79" i="1"/>
  <c r="AE79" i="1"/>
  <c r="AD79" i="1"/>
  <c r="AC79" i="1"/>
  <c r="AB79" i="1"/>
  <c r="Z79" i="1"/>
  <c r="J79" i="1"/>
  <c r="I79" i="1"/>
  <c r="H79" i="1"/>
  <c r="BJ77" i="1"/>
  <c r="BF77" i="1"/>
  <c r="BD77" i="1"/>
  <c r="AX77" i="1"/>
  <c r="AP77" i="1"/>
  <c r="BI77" i="1" s="1"/>
  <c r="AG77" i="1" s="1"/>
  <c r="AO77" i="1"/>
  <c r="AW77" i="1" s="1"/>
  <c r="AK77" i="1"/>
  <c r="AJ77" i="1"/>
  <c r="AH77" i="1"/>
  <c r="AE77" i="1"/>
  <c r="AD77" i="1"/>
  <c r="AC77" i="1"/>
  <c r="AB77" i="1"/>
  <c r="Z77" i="1"/>
  <c r="J77" i="1"/>
  <c r="AL77" i="1" s="1"/>
  <c r="I77" i="1"/>
  <c r="H77" i="1"/>
  <c r="BJ75" i="1"/>
  <c r="BF75" i="1"/>
  <c r="BD75" i="1"/>
  <c r="AW75" i="1"/>
  <c r="AP75" i="1"/>
  <c r="AX75" i="1" s="1"/>
  <c r="BC75" i="1" s="1"/>
  <c r="AO75" i="1"/>
  <c r="BH75" i="1" s="1"/>
  <c r="AF75" i="1" s="1"/>
  <c r="AL75" i="1"/>
  <c r="AK75" i="1"/>
  <c r="AJ75" i="1"/>
  <c r="AH75" i="1"/>
  <c r="AE75" i="1"/>
  <c r="AD75" i="1"/>
  <c r="AC75" i="1"/>
  <c r="AB75" i="1"/>
  <c r="Z75" i="1"/>
  <c r="J75" i="1"/>
  <c r="H75" i="1"/>
  <c r="BJ73" i="1"/>
  <c r="BF73" i="1"/>
  <c r="BD73" i="1"/>
  <c r="AX73" i="1"/>
  <c r="AP73" i="1"/>
  <c r="BI73" i="1" s="1"/>
  <c r="AG73" i="1" s="1"/>
  <c r="AO73" i="1"/>
  <c r="AW73" i="1" s="1"/>
  <c r="BC73" i="1" s="1"/>
  <c r="AK73" i="1"/>
  <c r="AJ73" i="1"/>
  <c r="AH73" i="1"/>
  <c r="AE73" i="1"/>
  <c r="AD73" i="1"/>
  <c r="AC73" i="1"/>
  <c r="AB73" i="1"/>
  <c r="Z73" i="1"/>
  <c r="J73" i="1"/>
  <c r="AL73" i="1" s="1"/>
  <c r="I73" i="1"/>
  <c r="H73" i="1"/>
  <c r="BJ71" i="1"/>
  <c r="BI71" i="1"/>
  <c r="AG71" i="1" s="1"/>
  <c r="BF71" i="1"/>
  <c r="BD71" i="1"/>
  <c r="AW71" i="1"/>
  <c r="AV71" i="1" s="1"/>
  <c r="AP71" i="1"/>
  <c r="AX71" i="1" s="1"/>
  <c r="AO71" i="1"/>
  <c r="BH71" i="1" s="1"/>
  <c r="AF71" i="1" s="1"/>
  <c r="AL71" i="1"/>
  <c r="AK71" i="1"/>
  <c r="AJ71" i="1"/>
  <c r="AH71" i="1"/>
  <c r="AE71" i="1"/>
  <c r="AD71" i="1"/>
  <c r="AC71" i="1"/>
  <c r="AB71" i="1"/>
  <c r="Z71" i="1"/>
  <c r="J71" i="1"/>
  <c r="I71" i="1"/>
  <c r="H71" i="1"/>
  <c r="BJ69" i="1"/>
  <c r="BF69" i="1"/>
  <c r="BD69" i="1"/>
  <c r="AX69" i="1"/>
  <c r="AP69" i="1"/>
  <c r="BI69" i="1" s="1"/>
  <c r="AG69" i="1" s="1"/>
  <c r="AO69" i="1"/>
  <c r="AW69" i="1" s="1"/>
  <c r="AK69" i="1"/>
  <c r="AJ69" i="1"/>
  <c r="AH69" i="1"/>
  <c r="AE69" i="1"/>
  <c r="AD69" i="1"/>
  <c r="AC69" i="1"/>
  <c r="AB69" i="1"/>
  <c r="Z69" i="1"/>
  <c r="J69" i="1"/>
  <c r="AL69" i="1" s="1"/>
  <c r="I69" i="1"/>
  <c r="H69" i="1"/>
  <c r="BJ67" i="1"/>
  <c r="BF67" i="1"/>
  <c r="BD67" i="1"/>
  <c r="AP67" i="1"/>
  <c r="AX67" i="1" s="1"/>
  <c r="AO67" i="1"/>
  <c r="BH67" i="1" s="1"/>
  <c r="AL67" i="1"/>
  <c r="AK67" i="1"/>
  <c r="AJ67" i="1"/>
  <c r="AH67" i="1"/>
  <c r="AF67" i="1"/>
  <c r="AE67" i="1"/>
  <c r="AD67" i="1"/>
  <c r="AC67" i="1"/>
  <c r="AB67" i="1"/>
  <c r="Z67" i="1"/>
  <c r="J67" i="1"/>
  <c r="I67" i="1"/>
  <c r="H67" i="1"/>
  <c r="BJ65" i="1"/>
  <c r="BF65" i="1"/>
  <c r="BD65" i="1"/>
  <c r="AX65" i="1"/>
  <c r="AP65" i="1"/>
  <c r="BI65" i="1" s="1"/>
  <c r="AG65" i="1" s="1"/>
  <c r="AO65" i="1"/>
  <c r="BH65" i="1" s="1"/>
  <c r="AF65" i="1" s="1"/>
  <c r="AK65" i="1"/>
  <c r="AJ65" i="1"/>
  <c r="AH65" i="1"/>
  <c r="AE65" i="1"/>
  <c r="AD65" i="1"/>
  <c r="AC65" i="1"/>
  <c r="AB65" i="1"/>
  <c r="Z65" i="1"/>
  <c r="J65" i="1"/>
  <c r="AL65" i="1" s="1"/>
  <c r="I65" i="1"/>
  <c r="H65" i="1"/>
  <c r="BJ63" i="1"/>
  <c r="BF63" i="1"/>
  <c r="BD63" i="1"/>
  <c r="AW63" i="1"/>
  <c r="AP63" i="1"/>
  <c r="BI63" i="1" s="1"/>
  <c r="AG63" i="1" s="1"/>
  <c r="AO63" i="1"/>
  <c r="BH63" i="1" s="1"/>
  <c r="AF63" i="1" s="1"/>
  <c r="AL63" i="1"/>
  <c r="AK63" i="1"/>
  <c r="AJ63" i="1"/>
  <c r="AH63" i="1"/>
  <c r="AE63" i="1"/>
  <c r="AD63" i="1"/>
  <c r="AC63" i="1"/>
  <c r="AB63" i="1"/>
  <c r="Z63" i="1"/>
  <c r="J63" i="1"/>
  <c r="I63" i="1"/>
  <c r="H63" i="1"/>
  <c r="BJ61" i="1"/>
  <c r="BF61" i="1"/>
  <c r="BD61" i="1"/>
  <c r="AX61" i="1"/>
  <c r="AP61" i="1"/>
  <c r="BI61" i="1" s="1"/>
  <c r="AG61" i="1" s="1"/>
  <c r="AO61" i="1"/>
  <c r="BH61" i="1" s="1"/>
  <c r="AF61" i="1" s="1"/>
  <c r="AK61" i="1"/>
  <c r="AJ61" i="1"/>
  <c r="AH61" i="1"/>
  <c r="AE61" i="1"/>
  <c r="AD61" i="1"/>
  <c r="AC61" i="1"/>
  <c r="AB61" i="1"/>
  <c r="Z61" i="1"/>
  <c r="J61" i="1"/>
  <c r="AL61" i="1" s="1"/>
  <c r="I61" i="1"/>
  <c r="H61" i="1"/>
  <c r="BJ59" i="1"/>
  <c r="BF59" i="1"/>
  <c r="BD59" i="1"/>
  <c r="AW59" i="1"/>
  <c r="AP59" i="1"/>
  <c r="BI59" i="1" s="1"/>
  <c r="AG59" i="1" s="1"/>
  <c r="AO59" i="1"/>
  <c r="BH59" i="1" s="1"/>
  <c r="AF59" i="1" s="1"/>
  <c r="AL59" i="1"/>
  <c r="AK59" i="1"/>
  <c r="AJ59" i="1"/>
  <c r="AH59" i="1"/>
  <c r="AE59" i="1"/>
  <c r="AD59" i="1"/>
  <c r="AC59" i="1"/>
  <c r="AB59" i="1"/>
  <c r="Z59" i="1"/>
  <c r="J59" i="1"/>
  <c r="I59" i="1"/>
  <c r="H59" i="1"/>
  <c r="BJ57" i="1"/>
  <c r="BF57" i="1"/>
  <c r="BD57" i="1"/>
  <c r="AX57" i="1"/>
  <c r="AP57" i="1"/>
  <c r="BI57" i="1" s="1"/>
  <c r="AG57" i="1" s="1"/>
  <c r="AO57" i="1"/>
  <c r="BH57" i="1" s="1"/>
  <c r="AF57" i="1" s="1"/>
  <c r="AK57" i="1"/>
  <c r="AJ57" i="1"/>
  <c r="AH57" i="1"/>
  <c r="AE57" i="1"/>
  <c r="AD57" i="1"/>
  <c r="AC57" i="1"/>
  <c r="AB57" i="1"/>
  <c r="Z57" i="1"/>
  <c r="J57" i="1"/>
  <c r="AL57" i="1" s="1"/>
  <c r="I57" i="1"/>
  <c r="H57" i="1"/>
  <c r="BJ55" i="1"/>
  <c r="BF55" i="1"/>
  <c r="BD55" i="1"/>
  <c r="AW55" i="1"/>
  <c r="AP55" i="1"/>
  <c r="BI55" i="1" s="1"/>
  <c r="AG55" i="1" s="1"/>
  <c r="AO55" i="1"/>
  <c r="BH55" i="1" s="1"/>
  <c r="AF55" i="1" s="1"/>
  <c r="AL55" i="1"/>
  <c r="AK55" i="1"/>
  <c r="AJ55" i="1"/>
  <c r="AH55" i="1"/>
  <c r="AE55" i="1"/>
  <c r="AD55" i="1"/>
  <c r="AC55" i="1"/>
  <c r="AB55" i="1"/>
  <c r="Z55" i="1"/>
  <c r="J55" i="1"/>
  <c r="I55" i="1"/>
  <c r="H55" i="1"/>
  <c r="BJ53" i="1"/>
  <c r="BF53" i="1"/>
  <c r="BD53" i="1"/>
  <c r="AX53" i="1"/>
  <c r="AP53" i="1"/>
  <c r="BI53" i="1" s="1"/>
  <c r="AG53" i="1" s="1"/>
  <c r="AO53" i="1"/>
  <c r="BH53" i="1" s="1"/>
  <c r="AF53" i="1" s="1"/>
  <c r="AK53" i="1"/>
  <c r="AJ53" i="1"/>
  <c r="AH53" i="1"/>
  <c r="AE53" i="1"/>
  <c r="AD53" i="1"/>
  <c r="AC53" i="1"/>
  <c r="AB53" i="1"/>
  <c r="Z53" i="1"/>
  <c r="J53" i="1"/>
  <c r="AL53" i="1" s="1"/>
  <c r="I53" i="1"/>
  <c r="H53" i="1"/>
  <c r="BJ51" i="1"/>
  <c r="BF51" i="1"/>
  <c r="BD51" i="1"/>
  <c r="AW51" i="1"/>
  <c r="AP51" i="1"/>
  <c r="BI51" i="1" s="1"/>
  <c r="AG51" i="1" s="1"/>
  <c r="AO51" i="1"/>
  <c r="BH51" i="1" s="1"/>
  <c r="AF51" i="1" s="1"/>
  <c r="AL51" i="1"/>
  <c r="AK51" i="1"/>
  <c r="AJ51" i="1"/>
  <c r="AH51" i="1"/>
  <c r="AE51" i="1"/>
  <c r="AD51" i="1"/>
  <c r="AC51" i="1"/>
  <c r="AB51" i="1"/>
  <c r="Z51" i="1"/>
  <c r="J51" i="1"/>
  <c r="I51" i="1"/>
  <c r="H51" i="1"/>
  <c r="BJ49" i="1"/>
  <c r="BF49" i="1"/>
  <c r="BD49" i="1"/>
  <c r="AX49" i="1"/>
  <c r="AP49" i="1"/>
  <c r="BI49" i="1" s="1"/>
  <c r="AG49" i="1" s="1"/>
  <c r="AO49" i="1"/>
  <c r="BH49" i="1" s="1"/>
  <c r="AF49" i="1" s="1"/>
  <c r="AK49" i="1"/>
  <c r="AJ49" i="1"/>
  <c r="AH49" i="1"/>
  <c r="AE49" i="1"/>
  <c r="AD49" i="1"/>
  <c r="AC49" i="1"/>
  <c r="AB49" i="1"/>
  <c r="Z49" i="1"/>
  <c r="J49" i="1"/>
  <c r="AL49" i="1" s="1"/>
  <c r="I49" i="1"/>
  <c r="H49" i="1"/>
  <c r="BJ47" i="1"/>
  <c r="BF47" i="1"/>
  <c r="BD47" i="1"/>
  <c r="AW47" i="1"/>
  <c r="AP47" i="1"/>
  <c r="BI47" i="1" s="1"/>
  <c r="AG47" i="1" s="1"/>
  <c r="AO47" i="1"/>
  <c r="BH47" i="1" s="1"/>
  <c r="AF47" i="1" s="1"/>
  <c r="AL47" i="1"/>
  <c r="AK47" i="1"/>
  <c r="AJ47" i="1"/>
  <c r="AH47" i="1"/>
  <c r="AE47" i="1"/>
  <c r="AD47" i="1"/>
  <c r="AC47" i="1"/>
  <c r="AB47" i="1"/>
  <c r="Z47" i="1"/>
  <c r="J47" i="1"/>
  <c r="I47" i="1"/>
  <c r="H47" i="1"/>
  <c r="BJ45" i="1"/>
  <c r="BF45" i="1"/>
  <c r="BD45" i="1"/>
  <c r="AX45" i="1"/>
  <c r="AP45" i="1"/>
  <c r="BI45" i="1" s="1"/>
  <c r="AG45" i="1" s="1"/>
  <c r="AO45" i="1"/>
  <c r="BH45" i="1" s="1"/>
  <c r="AF45" i="1" s="1"/>
  <c r="AK45" i="1"/>
  <c r="AJ45" i="1"/>
  <c r="AH45" i="1"/>
  <c r="AE45" i="1"/>
  <c r="AD45" i="1"/>
  <c r="AC45" i="1"/>
  <c r="AB45" i="1"/>
  <c r="Z45" i="1"/>
  <c r="J45" i="1"/>
  <c r="AL45" i="1" s="1"/>
  <c r="I45" i="1"/>
  <c r="H45" i="1"/>
  <c r="BJ43" i="1"/>
  <c r="BF43" i="1"/>
  <c r="BD43" i="1"/>
  <c r="AW43" i="1"/>
  <c r="AP43" i="1"/>
  <c r="BI43" i="1" s="1"/>
  <c r="AG43" i="1" s="1"/>
  <c r="AO43" i="1"/>
  <c r="BH43" i="1" s="1"/>
  <c r="AF43" i="1" s="1"/>
  <c r="AL43" i="1"/>
  <c r="AK43" i="1"/>
  <c r="AJ43" i="1"/>
  <c r="AH43" i="1"/>
  <c r="AE43" i="1"/>
  <c r="AD43" i="1"/>
  <c r="AC43" i="1"/>
  <c r="AB43" i="1"/>
  <c r="Z43" i="1"/>
  <c r="J43" i="1"/>
  <c r="I43" i="1"/>
  <c r="H43" i="1"/>
  <c r="BJ41" i="1"/>
  <c r="BF41" i="1"/>
  <c r="BD41" i="1"/>
  <c r="AX41" i="1"/>
  <c r="AP41" i="1"/>
  <c r="BI41" i="1" s="1"/>
  <c r="AG41" i="1" s="1"/>
  <c r="AO41" i="1"/>
  <c r="BH41" i="1" s="1"/>
  <c r="AF41" i="1" s="1"/>
  <c r="AK41" i="1"/>
  <c r="AJ41" i="1"/>
  <c r="AH41" i="1"/>
  <c r="AE41" i="1"/>
  <c r="AD41" i="1"/>
  <c r="AC41" i="1"/>
  <c r="AB41" i="1"/>
  <c r="Z41" i="1"/>
  <c r="J41" i="1"/>
  <c r="AL41" i="1" s="1"/>
  <c r="I41" i="1"/>
  <c r="H41" i="1"/>
  <c r="BJ39" i="1"/>
  <c r="BF39" i="1"/>
  <c r="BD39" i="1"/>
  <c r="AW39" i="1"/>
  <c r="AP39" i="1"/>
  <c r="BI39" i="1" s="1"/>
  <c r="AG39" i="1" s="1"/>
  <c r="AO39" i="1"/>
  <c r="BH39" i="1" s="1"/>
  <c r="AF39" i="1" s="1"/>
  <c r="AL39" i="1"/>
  <c r="AK39" i="1"/>
  <c r="AJ39" i="1"/>
  <c r="AH39" i="1"/>
  <c r="AE39" i="1"/>
  <c r="AD39" i="1"/>
  <c r="AC39" i="1"/>
  <c r="AB39" i="1"/>
  <c r="Z39" i="1"/>
  <c r="J39" i="1"/>
  <c r="I39" i="1"/>
  <c r="H39" i="1"/>
  <c r="BJ37" i="1"/>
  <c r="BF37" i="1"/>
  <c r="BD37" i="1"/>
  <c r="AX37" i="1"/>
  <c r="AP37" i="1"/>
  <c r="BI37" i="1" s="1"/>
  <c r="AG37" i="1" s="1"/>
  <c r="AO37" i="1"/>
  <c r="BH37" i="1" s="1"/>
  <c r="AF37" i="1" s="1"/>
  <c r="AK37" i="1"/>
  <c r="AJ37" i="1"/>
  <c r="AH37" i="1"/>
  <c r="AE37" i="1"/>
  <c r="AD37" i="1"/>
  <c r="AC37" i="1"/>
  <c r="AB37" i="1"/>
  <c r="Z37" i="1"/>
  <c r="J37" i="1"/>
  <c r="AL37" i="1" s="1"/>
  <c r="I37" i="1"/>
  <c r="H37" i="1"/>
  <c r="BJ35" i="1"/>
  <c r="BF35" i="1"/>
  <c r="BD35" i="1"/>
  <c r="AW35" i="1"/>
  <c r="AP35" i="1"/>
  <c r="BI35" i="1" s="1"/>
  <c r="AG35" i="1" s="1"/>
  <c r="AO35" i="1"/>
  <c r="BH35" i="1" s="1"/>
  <c r="AF35" i="1" s="1"/>
  <c r="AL35" i="1"/>
  <c r="AK35" i="1"/>
  <c r="AJ35" i="1"/>
  <c r="AH35" i="1"/>
  <c r="AE35" i="1"/>
  <c r="AD35" i="1"/>
  <c r="AC35" i="1"/>
  <c r="AB35" i="1"/>
  <c r="Z35" i="1"/>
  <c r="J35" i="1"/>
  <c r="I35" i="1"/>
  <c r="H35" i="1"/>
  <c r="BJ33" i="1"/>
  <c r="BF33" i="1"/>
  <c r="BD33" i="1"/>
  <c r="AX33" i="1"/>
  <c r="AP33" i="1"/>
  <c r="BI33" i="1" s="1"/>
  <c r="AG33" i="1" s="1"/>
  <c r="AO33" i="1"/>
  <c r="BH33" i="1" s="1"/>
  <c r="AF33" i="1" s="1"/>
  <c r="AK33" i="1"/>
  <c r="AJ33" i="1"/>
  <c r="AH33" i="1"/>
  <c r="AE33" i="1"/>
  <c r="AD33" i="1"/>
  <c r="AC33" i="1"/>
  <c r="AB33" i="1"/>
  <c r="Z33" i="1"/>
  <c r="J33" i="1"/>
  <c r="AL33" i="1" s="1"/>
  <c r="I33" i="1"/>
  <c r="H33" i="1"/>
  <c r="BJ31" i="1"/>
  <c r="BF31" i="1"/>
  <c r="BD31" i="1"/>
  <c r="AW31" i="1"/>
  <c r="AP31" i="1"/>
  <c r="BI31" i="1" s="1"/>
  <c r="AG31" i="1" s="1"/>
  <c r="AO31" i="1"/>
  <c r="BH31" i="1" s="1"/>
  <c r="AF31" i="1" s="1"/>
  <c r="AL31" i="1"/>
  <c r="AK31" i="1"/>
  <c r="AJ31" i="1"/>
  <c r="AH31" i="1"/>
  <c r="AE31" i="1"/>
  <c r="AD31" i="1"/>
  <c r="AC31" i="1"/>
  <c r="AB31" i="1"/>
  <c r="Z31" i="1"/>
  <c r="J31" i="1"/>
  <c r="I31" i="1"/>
  <c r="H31" i="1"/>
  <c r="BJ29" i="1"/>
  <c r="BF29" i="1"/>
  <c r="BD29" i="1"/>
  <c r="AX29" i="1"/>
  <c r="AP29" i="1"/>
  <c r="BI29" i="1" s="1"/>
  <c r="AG29" i="1" s="1"/>
  <c r="AO29" i="1"/>
  <c r="BH29" i="1" s="1"/>
  <c r="AF29" i="1" s="1"/>
  <c r="AK29" i="1"/>
  <c r="AJ29" i="1"/>
  <c r="AH29" i="1"/>
  <c r="AE29" i="1"/>
  <c r="AD29" i="1"/>
  <c r="AC29" i="1"/>
  <c r="AB29" i="1"/>
  <c r="Z29" i="1"/>
  <c r="J29" i="1"/>
  <c r="AL29" i="1" s="1"/>
  <c r="I29" i="1"/>
  <c r="H29" i="1"/>
  <c r="BJ27" i="1"/>
  <c r="BF27" i="1"/>
  <c r="BD27" i="1"/>
  <c r="AW27" i="1"/>
  <c r="AP27" i="1"/>
  <c r="BI27" i="1" s="1"/>
  <c r="AG27" i="1" s="1"/>
  <c r="AO27" i="1"/>
  <c r="BH27" i="1" s="1"/>
  <c r="AF27" i="1" s="1"/>
  <c r="AL27" i="1"/>
  <c r="AK27" i="1"/>
  <c r="AJ27" i="1"/>
  <c r="AH27" i="1"/>
  <c r="AE27" i="1"/>
  <c r="AD27" i="1"/>
  <c r="AC27" i="1"/>
  <c r="AB27" i="1"/>
  <c r="Z27" i="1"/>
  <c r="J27" i="1"/>
  <c r="I27" i="1"/>
  <c r="H27" i="1"/>
  <c r="BJ25" i="1"/>
  <c r="BF25" i="1"/>
  <c r="BD25" i="1"/>
  <c r="AX25" i="1"/>
  <c r="AP25" i="1"/>
  <c r="BI25" i="1" s="1"/>
  <c r="AG25" i="1" s="1"/>
  <c r="AO25" i="1"/>
  <c r="BH25" i="1" s="1"/>
  <c r="AF25" i="1" s="1"/>
  <c r="AK25" i="1"/>
  <c r="AT22" i="1" s="1"/>
  <c r="AJ25" i="1"/>
  <c r="AH25" i="1"/>
  <c r="AE25" i="1"/>
  <c r="AD25" i="1"/>
  <c r="AC25" i="1"/>
  <c r="AB25" i="1"/>
  <c r="Z25" i="1"/>
  <c r="J25" i="1"/>
  <c r="AL25" i="1" s="1"/>
  <c r="I25" i="1"/>
  <c r="H25" i="1"/>
  <c r="H22" i="1" s="1"/>
  <c r="E13" i="2" s="1"/>
  <c r="BJ23" i="1"/>
  <c r="BF23" i="1"/>
  <c r="BD23" i="1"/>
  <c r="AW23" i="1"/>
  <c r="AP23" i="1"/>
  <c r="BI23" i="1" s="1"/>
  <c r="AG23" i="1" s="1"/>
  <c r="AO23" i="1"/>
  <c r="BH23" i="1" s="1"/>
  <c r="AF23" i="1" s="1"/>
  <c r="AL23" i="1"/>
  <c r="AK23" i="1"/>
  <c r="AJ23" i="1"/>
  <c r="AH23" i="1"/>
  <c r="AE23" i="1"/>
  <c r="AD23" i="1"/>
  <c r="AC23" i="1"/>
  <c r="AB23" i="1"/>
  <c r="Z23" i="1"/>
  <c r="J23" i="1"/>
  <c r="I23" i="1"/>
  <c r="H23" i="1"/>
  <c r="AS22" i="1"/>
  <c r="BJ20" i="1"/>
  <c r="BF20" i="1"/>
  <c r="BD20" i="1"/>
  <c r="AX20" i="1"/>
  <c r="AP20" i="1"/>
  <c r="BI20" i="1" s="1"/>
  <c r="AC20" i="1" s="1"/>
  <c r="AO20" i="1"/>
  <c r="BH20" i="1" s="1"/>
  <c r="AB20" i="1" s="1"/>
  <c r="AK20" i="1"/>
  <c r="AJ20" i="1"/>
  <c r="AH20" i="1"/>
  <c r="AG20" i="1"/>
  <c r="AF20" i="1"/>
  <c r="AE20" i="1"/>
  <c r="AD20" i="1"/>
  <c r="Z20" i="1"/>
  <c r="J20" i="1"/>
  <c r="AL20" i="1" s="1"/>
  <c r="I20" i="1"/>
  <c r="H20" i="1"/>
  <c r="BJ18" i="1"/>
  <c r="BF18" i="1"/>
  <c r="BD18" i="1"/>
  <c r="AW18" i="1"/>
  <c r="AP18" i="1"/>
  <c r="BI18" i="1" s="1"/>
  <c r="AC18" i="1" s="1"/>
  <c r="AO18" i="1"/>
  <c r="BH18" i="1" s="1"/>
  <c r="AB18" i="1" s="1"/>
  <c r="AL18" i="1"/>
  <c r="AK18" i="1"/>
  <c r="AJ18" i="1"/>
  <c r="AS15" i="1" s="1"/>
  <c r="AH18" i="1"/>
  <c r="AG18" i="1"/>
  <c r="AF18" i="1"/>
  <c r="AE18" i="1"/>
  <c r="AD18" i="1"/>
  <c r="Z18" i="1"/>
  <c r="J18" i="1"/>
  <c r="I18" i="1"/>
  <c r="I15" i="1" s="1"/>
  <c r="F12" i="2" s="1"/>
  <c r="H18" i="1"/>
  <c r="BJ16" i="1"/>
  <c r="BF16" i="1"/>
  <c r="BD16" i="1"/>
  <c r="AX16" i="1"/>
  <c r="AP16" i="1"/>
  <c r="BI16" i="1" s="1"/>
  <c r="AC16" i="1" s="1"/>
  <c r="AO16" i="1"/>
  <c r="BH16" i="1" s="1"/>
  <c r="AK16" i="1"/>
  <c r="AJ16" i="1"/>
  <c r="AH16" i="1"/>
  <c r="AG16" i="1"/>
  <c r="AF16" i="1"/>
  <c r="AE16" i="1"/>
  <c r="AD16" i="1"/>
  <c r="AB16" i="1"/>
  <c r="Z16" i="1"/>
  <c r="J16" i="1"/>
  <c r="AL16" i="1" s="1"/>
  <c r="AU15" i="1" s="1"/>
  <c r="I16" i="1"/>
  <c r="H16" i="1"/>
  <c r="AT15" i="1"/>
  <c r="J15" i="1"/>
  <c r="G12" i="2" s="1"/>
  <c r="I12" i="2" s="1"/>
  <c r="H15" i="1"/>
  <c r="E12" i="2" s="1"/>
  <c r="BJ13" i="1"/>
  <c r="BI13" i="1"/>
  <c r="BF13" i="1"/>
  <c r="BD13" i="1"/>
  <c r="AW13" i="1"/>
  <c r="AV13" i="1" s="1"/>
  <c r="AP13" i="1"/>
  <c r="AX13" i="1" s="1"/>
  <c r="AO13" i="1"/>
  <c r="BH13" i="1" s="1"/>
  <c r="AB13" i="1" s="1"/>
  <c r="C14" i="3" s="1"/>
  <c r="AL13" i="1"/>
  <c r="AK13" i="1"/>
  <c r="AJ13" i="1"/>
  <c r="C27" i="3" s="1"/>
  <c r="AH13" i="1"/>
  <c r="AG13" i="1"/>
  <c r="AF13" i="1"/>
  <c r="AE13" i="1"/>
  <c r="C17" i="3" s="1"/>
  <c r="AD13" i="1"/>
  <c r="AC13" i="1"/>
  <c r="C15" i="3" s="1"/>
  <c r="Z13" i="1"/>
  <c r="C21" i="3" s="1"/>
  <c r="J13" i="1"/>
  <c r="I13" i="1"/>
  <c r="H13" i="1"/>
  <c r="AU12" i="1"/>
  <c r="AT12" i="1"/>
  <c r="AS12" i="1"/>
  <c r="J12" i="1"/>
  <c r="I12" i="1"/>
  <c r="F11" i="2" s="1"/>
  <c r="H12" i="1"/>
  <c r="E11" i="2" s="1"/>
  <c r="AU1" i="1"/>
  <c r="AT1" i="1"/>
  <c r="AS1" i="1"/>
  <c r="BC27" i="1" l="1"/>
  <c r="BC43" i="1"/>
  <c r="BC59" i="1"/>
  <c r="BC13" i="1"/>
  <c r="AU22" i="1"/>
  <c r="G11" i="2"/>
  <c r="I11" i="2" s="1"/>
  <c r="C16" i="3"/>
  <c r="C20" i="3"/>
  <c r="C28" i="3"/>
  <c r="F28" i="3" s="1"/>
  <c r="AW16" i="1"/>
  <c r="AX18" i="1"/>
  <c r="BC18" i="1" s="1"/>
  <c r="AW20" i="1"/>
  <c r="J22" i="1"/>
  <c r="G13" i="2" s="1"/>
  <c r="I13" i="2" s="1"/>
  <c r="AX23" i="1"/>
  <c r="AV23" i="1" s="1"/>
  <c r="AW25" i="1"/>
  <c r="AV27" i="1"/>
  <c r="AX27" i="1"/>
  <c r="AW29" i="1"/>
  <c r="AX31" i="1"/>
  <c r="AV31" i="1" s="1"/>
  <c r="AW33" i="1"/>
  <c r="AV35" i="1"/>
  <c r="AX35" i="1"/>
  <c r="BC35" i="1" s="1"/>
  <c r="AW37" i="1"/>
  <c r="AX39" i="1"/>
  <c r="BC39" i="1" s="1"/>
  <c r="AW41" i="1"/>
  <c r="AV43" i="1"/>
  <c r="AX43" i="1"/>
  <c r="AW45" i="1"/>
  <c r="AX47" i="1"/>
  <c r="AV47" i="1" s="1"/>
  <c r="AW49" i="1"/>
  <c r="AV51" i="1"/>
  <c r="AX51" i="1"/>
  <c r="BC51" i="1" s="1"/>
  <c r="AW53" i="1"/>
  <c r="AX55" i="1"/>
  <c r="BC55" i="1" s="1"/>
  <c r="AW57" i="1"/>
  <c r="AV59" i="1"/>
  <c r="AX59" i="1"/>
  <c r="AW61" i="1"/>
  <c r="AX63" i="1"/>
  <c r="AV63" i="1" s="1"/>
  <c r="AW65" i="1"/>
  <c r="AW67" i="1"/>
  <c r="BI67" i="1"/>
  <c r="AG67" i="1" s="1"/>
  <c r="C19" i="3" s="1"/>
  <c r="BC69" i="1"/>
  <c r="AV69" i="1"/>
  <c r="BH69" i="1"/>
  <c r="AF69" i="1" s="1"/>
  <c r="C18" i="3" s="1"/>
  <c r="BC71" i="1"/>
  <c r="I75" i="1"/>
  <c r="I22" i="1" s="1"/>
  <c r="F13" i="2" s="1"/>
  <c r="AV75" i="1"/>
  <c r="BI75" i="1"/>
  <c r="AG75" i="1" s="1"/>
  <c r="BC77" i="1"/>
  <c r="AV77" i="1"/>
  <c r="BH77" i="1"/>
  <c r="AF77" i="1" s="1"/>
  <c r="BC79" i="1"/>
  <c r="I83" i="1"/>
  <c r="AV83" i="1"/>
  <c r="BI83" i="1"/>
  <c r="AG83" i="1" s="1"/>
  <c r="AV88" i="1"/>
  <c r="BI88" i="1"/>
  <c r="AG88" i="1" s="1"/>
  <c r="BC90" i="1"/>
  <c r="AV90" i="1"/>
  <c r="BH90" i="1"/>
  <c r="AF90" i="1" s="1"/>
  <c r="I93" i="1"/>
  <c r="AV93" i="1"/>
  <c r="BI93" i="1"/>
  <c r="AG93" i="1" s="1"/>
  <c r="AL95" i="1"/>
  <c r="C29" i="3" s="1"/>
  <c r="J92" i="1"/>
  <c r="G15" i="2" s="1"/>
  <c r="I15" i="2" s="1"/>
  <c r="BC95" i="1"/>
  <c r="AV95" i="1"/>
  <c r="BH95" i="1"/>
  <c r="AF95" i="1" s="1"/>
  <c r="BC97" i="1"/>
  <c r="AW101" i="1"/>
  <c r="H101" i="1"/>
  <c r="H92" i="1" s="1"/>
  <c r="E15" i="2" s="1"/>
  <c r="BH101" i="1"/>
  <c r="AF101" i="1" s="1"/>
  <c r="BC111" i="1"/>
  <c r="AV73" i="1"/>
  <c r="BH73" i="1"/>
  <c r="AF73" i="1" s="1"/>
  <c r="AV81" i="1"/>
  <c r="BH81" i="1"/>
  <c r="AF81" i="1" s="1"/>
  <c r="AV86" i="1"/>
  <c r="BH86" i="1"/>
  <c r="AF86" i="1" s="1"/>
  <c r="AV99" i="1"/>
  <c r="BH99" i="1"/>
  <c r="AF99" i="1" s="1"/>
  <c r="AX103" i="1"/>
  <c r="BC103" i="1" s="1"/>
  <c r="BI103" i="1"/>
  <c r="AG103" i="1" s="1"/>
  <c r="I103" i="1"/>
  <c r="AV103" i="1"/>
  <c r="I22" i="3"/>
  <c r="F29" i="4"/>
  <c r="AW105" i="1"/>
  <c r="AX107" i="1"/>
  <c r="BC107" i="1" s="1"/>
  <c r="AW109" i="1"/>
  <c r="AV111" i="1"/>
  <c r="AX111" i="1"/>
  <c r="AW113" i="1"/>
  <c r="H115" i="1"/>
  <c r="E16" i="2" s="1"/>
  <c r="J115" i="1"/>
  <c r="G16" i="2" s="1"/>
  <c r="AW117" i="1"/>
  <c r="AW120" i="1"/>
  <c r="AW122" i="1"/>
  <c r="F29" i="3" l="1"/>
  <c r="I28" i="3"/>
  <c r="I29" i="3" s="1"/>
  <c r="C22" i="3"/>
  <c r="AV120" i="1"/>
  <c r="BC120" i="1"/>
  <c r="AV113" i="1"/>
  <c r="BC113" i="1"/>
  <c r="AV105" i="1"/>
  <c r="BC105" i="1"/>
  <c r="AV67" i="1"/>
  <c r="BC67" i="1"/>
  <c r="AV61" i="1"/>
  <c r="BC61" i="1"/>
  <c r="AV53" i="1"/>
  <c r="BC53" i="1"/>
  <c r="AV45" i="1"/>
  <c r="BC45" i="1"/>
  <c r="AV37" i="1"/>
  <c r="BC37" i="1"/>
  <c r="AV29" i="1"/>
  <c r="BC29" i="1"/>
  <c r="AV16" i="1"/>
  <c r="BC16" i="1"/>
  <c r="J124" i="1"/>
  <c r="BC63" i="1"/>
  <c r="BC47" i="1"/>
  <c r="BC31" i="1"/>
  <c r="BC23" i="1"/>
  <c r="AV122" i="1"/>
  <c r="BC122" i="1"/>
  <c r="AV117" i="1"/>
  <c r="BC117" i="1"/>
  <c r="AV109" i="1"/>
  <c r="BC109" i="1"/>
  <c r="AV107" i="1"/>
  <c r="BC101" i="1"/>
  <c r="AV101" i="1"/>
  <c r="I92" i="1"/>
  <c r="F15" i="2" s="1"/>
  <c r="AV65" i="1"/>
  <c r="BC65" i="1"/>
  <c r="AV57" i="1"/>
  <c r="BC57" i="1"/>
  <c r="AV55" i="1"/>
  <c r="AV49" i="1"/>
  <c r="BC49" i="1"/>
  <c r="AV41" i="1"/>
  <c r="BC41" i="1"/>
  <c r="AV39" i="1"/>
  <c r="AV33" i="1"/>
  <c r="BC33" i="1"/>
  <c r="AV25" i="1"/>
  <c r="BC25" i="1"/>
  <c r="AV20" i="1"/>
  <c r="BC20" i="1"/>
  <c r="AV18" i="1"/>
  <c r="G19" i="2"/>
  <c r="AU92" i="1"/>
</calcChain>
</file>

<file path=xl/sharedStrings.xml><?xml version="1.0" encoding="utf-8"?>
<sst xmlns="http://schemas.openxmlformats.org/spreadsheetml/2006/main" count="1048" uniqueCount="325">
  <si>
    <t>Slepý stavební rozpočet</t>
  </si>
  <si>
    <t>Název stavby:</t>
  </si>
  <si>
    <t>REVITALIZACE VENKOVNÍCH ŠATEN NA MĚSTSKÉM STADIONU</t>
  </si>
  <si>
    <t>Doba výstavby:</t>
  </si>
  <si>
    <t xml:space="preserve"> </t>
  </si>
  <si>
    <t>Objednatel:</t>
  </si>
  <si>
    <t>MĚSTO ŠLUKNOV</t>
  </si>
  <si>
    <t>Druh stavby:</t>
  </si>
  <si>
    <t>ELEKTROMONTÁŽE</t>
  </si>
  <si>
    <t>Začátek výstavby:</t>
  </si>
  <si>
    <t>10.04.2024</t>
  </si>
  <si>
    <t>Projektant:</t>
  </si>
  <si>
    <t>LADISLAV KAŠPAR</t>
  </si>
  <si>
    <t>Lokalita:</t>
  </si>
  <si>
    <t>ŠLUKNOV</t>
  </si>
  <si>
    <t>Konec výstavby:</t>
  </si>
  <si>
    <t>Zhotovitel:</t>
  </si>
  <si>
    <t>BUDE VYBRÁN VÝBĚROVÝM ŘÍZENÍM</t>
  </si>
  <si>
    <t>JKSO:</t>
  </si>
  <si>
    <t>Zpracováno dne:</t>
  </si>
  <si>
    <t>Zpracoval:</t>
  </si>
  <si>
    <t>IIČVDF</t>
  </si>
  <si>
    <t>Č</t>
  </si>
  <si>
    <t>Kód</t>
  </si>
  <si>
    <t>Zkrácený popis</t>
  </si>
  <si>
    <t>MJ</t>
  </si>
  <si>
    <t>Množství</t>
  </si>
  <si>
    <t>Cena/MJ</t>
  </si>
  <si>
    <t>Náklady (Kč)</t>
  </si>
  <si>
    <t>Cenová</t>
  </si>
  <si>
    <t>ISWORK</t>
  </si>
  <si>
    <t>GROUPCODE</t>
  </si>
  <si>
    <t>VATTAX</t>
  </si>
  <si>
    <t>Rozměry</t>
  </si>
  <si>
    <t>(Kč)</t>
  </si>
  <si>
    <t>Dodávka</t>
  </si>
  <si>
    <t>Montáž</t>
  </si>
  <si>
    <t>Celkem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</si>
  <si>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</si>
  <si>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</si>
  <si>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</si>
  <si>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</si>
  <si>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</si>
  <si>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</si>
  <si>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</si>
  <si>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</si>
  <si>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</si>
  <si>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</si>
  <si>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MAT</t>
  </si>
  <si>
    <t>WORK</t>
  </si>
  <si>
    <t>CELK</t>
  </si>
  <si>
    <t/>
  </si>
  <si>
    <t>60</t>
  </si>
  <si>
    <t>Omítky ze suchých směsí</t>
  </si>
  <si>
    <t>1</t>
  </si>
  <si>
    <t>601011112R00</t>
  </si>
  <si>
    <t>Stavební přípomoce včetně materiálu</t>
  </si>
  <si>
    <t>hod</t>
  </si>
  <si>
    <t>RTS I / 2024</t>
  </si>
  <si>
    <t>60_</t>
  </si>
  <si>
    <t>6_</t>
  </si>
  <si>
    <t>_</t>
  </si>
  <si>
    <t>22</t>
  </si>
  <si>
    <t>97</t>
  </si>
  <si>
    <t>Prorážení otvorů a ostatní bourací práce</t>
  </si>
  <si>
    <t>2</t>
  </si>
  <si>
    <t>971033141R00</t>
  </si>
  <si>
    <t>Vybourání otvorů zeď cihel. d=6 cm, tl. 30 cm, MVC</t>
  </si>
  <si>
    <t>kus</t>
  </si>
  <si>
    <t>97_</t>
  </si>
  <si>
    <t>9_</t>
  </si>
  <si>
    <t>6</t>
  </si>
  <si>
    <t>3</t>
  </si>
  <si>
    <t>974082212R00</t>
  </si>
  <si>
    <t>Vysekání rýh pro vodiče omítka stěn MC šířka 3 cm</t>
  </si>
  <si>
    <t>m</t>
  </si>
  <si>
    <t>12,40+12,40+5,5+5,5+4,50+5,40+12,40+4*1,6+12,40</t>
  </si>
  <si>
    <t>4</t>
  </si>
  <si>
    <t>974082214R00</t>
  </si>
  <si>
    <t>Vysekání rýh pro vodiče omítka stěn MC šířka 7 cm</t>
  </si>
  <si>
    <t>16</t>
  </si>
  <si>
    <t>M21</t>
  </si>
  <si>
    <t>Elektromontáže</t>
  </si>
  <si>
    <t>5</t>
  </si>
  <si>
    <t>210172109R00</t>
  </si>
  <si>
    <t>Přípojnice PHP/PLP</t>
  </si>
  <si>
    <t>M21_</t>
  </si>
  <si>
    <t>210010301RT1</t>
  </si>
  <si>
    <t>Krabice přístrojová KP, bez zapojení, kruhová</t>
  </si>
  <si>
    <t>s dodávkou</t>
  </si>
  <si>
    <t>7</t>
  </si>
  <si>
    <t>210010311RT1</t>
  </si>
  <si>
    <t>Krabice univerzální KU, bez zapojení, kruhová</t>
  </si>
  <si>
    <t>23</t>
  </si>
  <si>
    <t>8</t>
  </si>
  <si>
    <t>210010323RT1</t>
  </si>
  <si>
    <t>Krabice odbočná KO, se zapojením, čtvercová</t>
  </si>
  <si>
    <t>včetně dodávky</t>
  </si>
  <si>
    <t>9</t>
  </si>
  <si>
    <t>210220002RT2</t>
  </si>
  <si>
    <t>Vedení uzemňovací na povrchu FeZn D 10 mm</t>
  </si>
  <si>
    <t>13,6+3,5+3,5</t>
  </si>
  <si>
    <t>10</t>
  </si>
  <si>
    <t>210010105R00</t>
  </si>
  <si>
    <t>Lišta elektroinstalační PVC 25x25 vkládací</t>
  </si>
  <si>
    <t>6,4</t>
  </si>
  <si>
    <t>11</t>
  </si>
  <si>
    <t>210220301R00</t>
  </si>
  <si>
    <t>Svorka hromosvodová do 2 šroubů /SS, SZ, SO/</t>
  </si>
  <si>
    <t>14</t>
  </si>
  <si>
    <t>12</t>
  </si>
  <si>
    <t>210800014R00</t>
  </si>
  <si>
    <t>Vodič uložený v trubkách CYY 6 mm2</t>
  </si>
  <si>
    <t>13</t>
  </si>
  <si>
    <t>210800015R00</t>
  </si>
  <si>
    <t>Vodič uložený v trubkách CYY 10 mm2</t>
  </si>
  <si>
    <t>210800105RT1</t>
  </si>
  <si>
    <t>Kabel CYKY 750 V 3x1,5 mm2 uložený pod omítkou</t>
  </si>
  <si>
    <t>12,5+12,5+5,4+5,4+4,5+4,5+5,4+5,4+12,5+5,4</t>
  </si>
  <si>
    <t>15</t>
  </si>
  <si>
    <t>210800135RT1</t>
  </si>
  <si>
    <t>Kabel CYKY 750 V 5x1,5 mm2 pod omítkou</t>
  </si>
  <si>
    <t>210800106RT1</t>
  </si>
  <si>
    <t>Kabel CYKY 750 V 3x2,5 mm2 uložený pod omítkou</t>
  </si>
  <si>
    <t>124</t>
  </si>
  <si>
    <t>17</t>
  </si>
  <si>
    <t>210800113RT1</t>
  </si>
  <si>
    <t>Kabel CYKY 750 V 4x10 mm2</t>
  </si>
  <si>
    <t>18</t>
  </si>
  <si>
    <t>210192574R00</t>
  </si>
  <si>
    <t>Svorkovnice řadová pro vodič do 16 mm2</t>
  </si>
  <si>
    <t>19</t>
  </si>
  <si>
    <t>21010125 R-02</t>
  </si>
  <si>
    <t>páska stahovací</t>
  </si>
  <si>
    <t>80</t>
  </si>
  <si>
    <t>20</t>
  </si>
  <si>
    <t>210192577R00</t>
  </si>
  <si>
    <t>Sada hlavního pospojení</t>
  </si>
  <si>
    <t>včetně pospojení</t>
  </si>
  <si>
    <t>21</t>
  </si>
  <si>
    <t>210110001RT2</t>
  </si>
  <si>
    <t>Spínač nástěnný jednopól.- řaz. 1, obyč.prostředí</t>
  </si>
  <si>
    <t>210110003RT1</t>
  </si>
  <si>
    <t>Spínač nástěnný seriový - řaz. 5, obyč.prostředí</t>
  </si>
  <si>
    <t>210110005RT1</t>
  </si>
  <si>
    <t>Spínač nástěnný křížový - řaz. 7, obyč.prostředí</t>
  </si>
  <si>
    <t>24</t>
  </si>
  <si>
    <t>210111011RT2</t>
  </si>
  <si>
    <t>Zásuvka domovní zapuštěná - jednonásobná</t>
  </si>
  <si>
    <t>25</t>
  </si>
  <si>
    <t>210111013R00</t>
  </si>
  <si>
    <t>Zásuvka s přepěťovou ochranou - dvojnásobná</t>
  </si>
  <si>
    <t>26</t>
  </si>
  <si>
    <t>2102900 R-03</t>
  </si>
  <si>
    <t>Podružný materiál</t>
  </si>
  <si>
    <t>27</t>
  </si>
  <si>
    <t>210200212R00</t>
  </si>
  <si>
    <t>Svítidlo žárovkové stropní přisazené, 2 zdroje</t>
  </si>
  <si>
    <t>montáže</t>
  </si>
  <si>
    <t>28</t>
  </si>
  <si>
    <t>210200272R00</t>
  </si>
  <si>
    <t>Svítidlo žárovkové stěnové přisazené, 2 zdroje</t>
  </si>
  <si>
    <t>29</t>
  </si>
  <si>
    <t>210201523R00</t>
  </si>
  <si>
    <t>Svítidlo stropní 3600/840 27W IP 44</t>
  </si>
  <si>
    <t>včetně montáže</t>
  </si>
  <si>
    <t>30</t>
  </si>
  <si>
    <t>210202126R00</t>
  </si>
  <si>
    <t>Svítidlo venkovní nástěnné IP 44(červená barva prvku značí min.krytí IP44)</t>
  </si>
  <si>
    <t>31</t>
  </si>
  <si>
    <t>210202115R00</t>
  </si>
  <si>
    <t>Snímač pohybu s čidlem</t>
  </si>
  <si>
    <t>s montáží</t>
  </si>
  <si>
    <t>32</t>
  </si>
  <si>
    <t>210100041R00</t>
  </si>
  <si>
    <t>Zapojení el.boileru 2,2 kW</t>
  </si>
  <si>
    <t>33</t>
  </si>
  <si>
    <t>210100042R00</t>
  </si>
  <si>
    <t>Odtahový ventilátor s doběhovým relé</t>
  </si>
  <si>
    <t>montáž a zapojení včetně dodávky</t>
  </si>
  <si>
    <t>34</t>
  </si>
  <si>
    <t>2101000R+04</t>
  </si>
  <si>
    <t>Autonomní hlásič požáru</t>
  </si>
  <si>
    <t>35</t>
  </si>
  <si>
    <t>210220002R00</t>
  </si>
  <si>
    <t>Vedení uzemňovací na povrchu FeZn D 10 mm hromosvod</t>
  </si>
  <si>
    <t>kpl</t>
  </si>
  <si>
    <t>včetně materiálu</t>
  </si>
  <si>
    <t>M22</t>
  </si>
  <si>
    <t>Montáže sdělovací a zabezpečovací techniky</t>
  </si>
  <si>
    <t>36</t>
  </si>
  <si>
    <t>222111102R00</t>
  </si>
  <si>
    <t>Hlavní rozvaděč objektu RS1s výbavou</t>
  </si>
  <si>
    <t>M22_</t>
  </si>
  <si>
    <t>37</t>
  </si>
  <si>
    <t>222112203R00</t>
  </si>
  <si>
    <t>Elektroměrový rozvaděč s výbavou a přípojkovou skříní RE+PS</t>
  </si>
  <si>
    <t>38</t>
  </si>
  <si>
    <t>222280511R00</t>
  </si>
  <si>
    <t>SYKFY 5x2x0,5mm volně ve žlabu, liště</t>
  </si>
  <si>
    <t>16,20</t>
  </si>
  <si>
    <t>M65</t>
  </si>
  <si>
    <t>Elektroinstalace</t>
  </si>
  <si>
    <t>39</t>
  </si>
  <si>
    <t>650511206R00</t>
  </si>
  <si>
    <t>Měření proudu a napětí el.zařízení- revize</t>
  </si>
  <si>
    <t>M65_</t>
  </si>
  <si>
    <t>40</t>
  </si>
  <si>
    <t>650031114R00</t>
  </si>
  <si>
    <t>Osazení rozvodnice do výklenku, pl. do 0,5 m2</t>
  </si>
  <si>
    <t>41</t>
  </si>
  <si>
    <t>650031621R00</t>
  </si>
  <si>
    <t>Montáž rozváděče do váhy 25 kg</t>
  </si>
  <si>
    <t>42</t>
  </si>
  <si>
    <t>6505111-R01</t>
  </si>
  <si>
    <t>Koordinace s investorem</t>
  </si>
  <si>
    <t>43</t>
  </si>
  <si>
    <t>650010613R00</t>
  </si>
  <si>
    <t>Montáž trubky ohebné plastové D 23 mm, ulož. pevné</t>
  </si>
  <si>
    <t>76,9+16</t>
  </si>
  <si>
    <t>44</t>
  </si>
  <si>
    <t>650141211R00</t>
  </si>
  <si>
    <t>Ukončení vodiče v krabici ,rozvaděči + zapojení do 2,5 mm2</t>
  </si>
  <si>
    <t>45</t>
  </si>
  <si>
    <t>34561412</t>
  </si>
  <si>
    <t>Svorka WAGO 222-413 3 x 2,5 mm2</t>
  </si>
  <si>
    <t>46</t>
  </si>
  <si>
    <t>650511211R00</t>
  </si>
  <si>
    <t>Měření intenzity osvětlení</t>
  </si>
  <si>
    <t>47</t>
  </si>
  <si>
    <t>650511151R00</t>
  </si>
  <si>
    <t>Zkouška nouzových svítidel</t>
  </si>
  <si>
    <t>48</t>
  </si>
  <si>
    <t>650063611R00</t>
  </si>
  <si>
    <t>Montáž a dodávka chrániče proudového dvoupólového do 25 A</t>
  </si>
  <si>
    <t>49</t>
  </si>
  <si>
    <t>650710621R00</t>
  </si>
  <si>
    <t>Demontáž stávající elektroinstalace</t>
  </si>
  <si>
    <t>VORN</t>
  </si>
  <si>
    <t>Vedlejší a ostatní rozpočtové náklady</t>
  </si>
  <si>
    <t>01VRN</t>
  </si>
  <si>
    <t>Průzkumy, geodetické a projektové práce</t>
  </si>
  <si>
    <t>50</t>
  </si>
  <si>
    <t>013002VRN</t>
  </si>
  <si>
    <t>Dokumentace skutečného provedení</t>
  </si>
  <si>
    <t>99</t>
  </si>
  <si>
    <t>01VRN_</t>
  </si>
  <si>
    <t>Â _</t>
  </si>
  <si>
    <t>03VRN</t>
  </si>
  <si>
    <t>Ostatní</t>
  </si>
  <si>
    <t>51</t>
  </si>
  <si>
    <t>031002VRN</t>
  </si>
  <si>
    <t>Podíl z přidružených výkonů</t>
  </si>
  <si>
    <t>03VRN_</t>
  </si>
  <si>
    <t>52</t>
  </si>
  <si>
    <t>039002VRN</t>
  </si>
  <si>
    <t>Likvidace odpadů</t>
  </si>
  <si>
    <t>Celkem:</t>
  </si>
  <si>
    <t>Poznámka:</t>
  </si>
  <si>
    <t>Slepý stavební rozpočet - rekapitulace</t>
  </si>
  <si>
    <t>Náklady (Kč) - dodávka</t>
  </si>
  <si>
    <t>Náklady (Kč) - Montáž</t>
  </si>
  <si>
    <t>Náklady (Kč) - celkem</t>
  </si>
  <si>
    <t>T</t>
  </si>
  <si>
    <t>F</t>
  </si>
  <si>
    <t>Krycí list slepého rozpočtu</t>
  </si>
  <si>
    <t>IČO/DIČ:</t>
  </si>
  <si>
    <t>Položek: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</si>
  <si>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</si>
  <si>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</si>
  <si>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</si>
  <si>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</si>
  <si>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</si>
  <si>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</si>
  <si>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</si>
  <si>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</si>
  <si>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</si>
  <si>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</si>
  <si>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Práce přesčas</t>
  </si>
  <si>
    <t>Zařízení staveniště</t>
  </si>
  <si>
    <t>Bez pevné podl.</t>
  </si>
  <si>
    <t>Mimostav. doprava</t>
  </si>
  <si>
    <t>PSV</t>
  </si>
  <si>
    <t>Kulturní památka</t>
  </si>
  <si>
    <t>Územní vlivy</t>
  </si>
  <si>
    <t>Provozní vlivy</t>
  </si>
  <si>
    <t>"M"</t>
  </si>
  <si>
    <t>NUS z rozpočtu</t>
  </si>
  <si>
    <t>Ostatní materiál</t>
  </si>
  <si>
    <t>Přesun hmot a sutí</t>
  </si>
  <si>
    <t>ZRN celkem</t>
  </si>
  <si>
    <t>DN celkem</t>
  </si>
  <si>
    <t>NUS celkem</t>
  </si>
  <si>
    <t>DN celkem z obj.</t>
  </si>
  <si>
    <t>NUS celkem z obj.</t>
  </si>
  <si>
    <t>VORN celkem</t>
  </si>
  <si>
    <t>VORN celkem z obj.</t>
  </si>
  <si>
    <t>Základ 0%</t>
  </si>
  <si>
    <t>Základ 12%</t>
  </si>
  <si>
    <t>DPH 12%</t>
  </si>
  <si>
    <t>Celkem bez DPH</t>
  </si>
  <si>
    <t>Základ 21%</t>
  </si>
  <si>
    <t>DPH 21%</t>
  </si>
  <si>
    <t>Celkem včetně DPH</t>
  </si>
  <si>
    <t>Projektant</t>
  </si>
  <si>
    <t>Objednatel</t>
  </si>
  <si>
    <t>Zhotovitel</t>
  </si>
  <si>
    <t>Datum, razítko a podpis</t>
  </si>
  <si>
    <t>Vedlejší rozpočtové náklady VRN</t>
  </si>
  <si>
    <t>Doplňkové náklady DN</t>
  </si>
  <si>
    <t>Kč</t>
  </si>
  <si>
    <t>%</t>
  </si>
  <si>
    <t>Základna</t>
  </si>
  <si>
    <t>Celkem DN</t>
  </si>
  <si>
    <t>Celkem NUS</t>
  </si>
  <si>
    <t>Celkem VRN</t>
  </si>
  <si>
    <t>Vedlejší a ostatní rozpočtové náklady VORN</t>
  </si>
  <si>
    <t>Ostatní rozpočtové náklady (VORN)</t>
  </si>
  <si>
    <t>Příprava staveniště</t>
  </si>
  <si>
    <t>Inženýrské činnosti</t>
  </si>
  <si>
    <t>Finanční náklady</t>
  </si>
  <si>
    <t>Náklady na pracovníky</t>
  </si>
  <si>
    <t>Ostatní náklady</t>
  </si>
  <si>
    <t>Vlastní VORN</t>
  </si>
  <si>
    <t>Celkem VORN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</si>
</sst>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charset val="1"/>
    </font>
    <font>
      <sz val="18"/>
      <color rgb="FF000000"/>
      <name val="Arial"/>
      <charset val="238"/>
    </font>
    <font>
      <b/>
      <sz val="10"/>
      <color rgb="FF000000"/>
      <name val="Arial"/>
      <charset val="238"/>
    </font>
    <font>
      <sz val="10"/>
      <color rgb="FF000000"/>
      <name val="Arial"/>
      <charset val="238"/>
    </font>
    <font>
      <i/>
      <sz val="10"/>
      <color rgb="FF000000"/>
      <name val="Arial"/>
      <charset val="238"/>
    </font>
    <font>
      <i/>
      <sz val="8"/>
      <color rgb="FF000000"/>
      <name val="Arial"/>
      <charset val="238"/>
    </font>
    <font>
      <b/>
      <sz val="18"/>
      <color rgb="FF000000"/>
      <name val="Arial"/>
      <charset val="238"/>
    </font>
    <font>
      <b/>
      <sz val="20"/>
      <color rgb="FF000000"/>
      <name val="Arial"/>
      <charset val="238"/>
    </font>
    <font>
      <b/>
      <sz val="11"/>
      <color rgb="FF000000"/>
      <name val="Arial"/>
      <charset val="238"/>
    </font>
    <font>
      <b/>
      <sz val="12"/>
      <color rgb="FF000000"/>
      <name val="Arial"/>
      <charset val="238"/>
    </font>
    <font>
      <sz val="12"/>
      <color rgb="FF000000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7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0">
    <xf numFmtId="0" fontId="0" fillId="0" borderId="0" xfId="0"/>
    <xf numFmtId="4" fontId="2" fillId="2" borderId="0" xfId="0" applyNumberFormat="1" applyFont="1" applyFill="1" applyBorder="1" applyAlignment="1" applyProtection="1">
      <alignment horizontal="righ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19" xfId="0" applyNumberFormat="1" applyFont="1" applyFill="1" applyBorder="1" applyAlignment="1" applyProtection="1">
      <alignment horizontal="left" vertical="center"/>
    </xf>
    <xf numFmtId="0" fontId="3" fillId="0" borderId="20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3" fillId="2" borderId="28" xfId="0" applyNumberFormat="1" applyFont="1" applyFill="1" applyBorder="1" applyAlignment="1" applyProtection="1">
      <alignment horizontal="left" vertical="center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3" fillId="2" borderId="29" xfId="0" applyNumberFormat="1" applyFont="1" applyFill="1" applyBorder="1" applyAlignment="1" applyProtection="1">
      <alignment horizontal="left" vertical="center"/>
    </xf>
    <xf numFmtId="4" fontId="2" fillId="2" borderId="29" xfId="0" applyNumberFormat="1" applyFont="1" applyFill="1" applyBorder="1" applyAlignment="1" applyProtection="1">
      <alignment horizontal="right" vertical="center"/>
    </xf>
    <xf numFmtId="0" fontId="2" fillId="2" borderId="30" xfId="0" applyNumberFormat="1" applyFont="1" applyFill="1" applyBorder="1" applyAlignment="1" applyProtection="1">
      <alignment horizontal="right" vertical="center"/>
    </xf>
    <xf numFmtId="4" fontId="3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0" fillId="0" borderId="5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horizontal="right" vertical="center"/>
    </xf>
    <xf numFmtId="0" fontId="0" fillId="0" borderId="6" xfId="0" applyNumberFormat="1" applyFont="1" applyFill="1" applyBorder="1" applyAlignment="1" applyProtection="1"/>
    <xf numFmtId="0" fontId="3" fillId="2" borderId="5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0" fillId="0" borderId="31" xfId="0" applyNumberFormat="1" applyFont="1" applyFill="1" applyBorder="1" applyAlignment="1" applyProtection="1"/>
    <xf numFmtId="0" fontId="0" fillId="0" borderId="32" xfId="0" applyNumberFormat="1" applyFont="1" applyFill="1" applyBorder="1" applyAlignment="1" applyProtection="1"/>
    <xf numFmtId="0" fontId="4" fillId="0" borderId="32" xfId="0" applyNumberFormat="1" applyFont="1" applyFill="1" applyBorder="1" applyAlignment="1" applyProtection="1">
      <alignment horizontal="left" vertical="center"/>
    </xf>
    <xf numFmtId="4" fontId="4" fillId="0" borderId="32" xfId="0" applyNumberFormat="1" applyFont="1" applyFill="1" applyBorder="1" applyAlignment="1" applyProtection="1">
      <alignment horizontal="right" vertical="center"/>
    </xf>
    <xf numFmtId="0" fontId="0" fillId="0" borderId="33" xfId="0" applyNumberFormat="1" applyFont="1" applyFill="1" applyBorder="1" applyAlignment="1" applyProtection="1"/>
    <xf numFmtId="4" fontId="2" fillId="0" borderId="34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37" xfId="0" applyNumberFormat="1" applyFont="1" applyFill="1" applyBorder="1" applyAlignment="1" applyProtection="1">
      <alignment horizontal="left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4" fontId="3" fillId="0" borderId="29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0" fontId="7" fillId="2" borderId="41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  <xf numFmtId="0" fontId="9" fillId="0" borderId="45" xfId="0" applyNumberFormat="1" applyFont="1" applyFill="1" applyBorder="1" applyAlignment="1" applyProtection="1">
      <alignment horizontal="left" vertical="center"/>
    </xf>
    <xf numFmtId="0" fontId="10" fillId="0" borderId="46" xfId="0" applyNumberFormat="1" applyFont="1" applyFill="1" applyBorder="1" applyAlignment="1" applyProtection="1">
      <alignment horizontal="left" vertical="center"/>
    </xf>
    <xf numFmtId="4" fontId="10" fillId="0" borderId="46" xfId="0" applyNumberFormat="1" applyFont="1" applyFill="1" applyBorder="1" applyAlignment="1" applyProtection="1">
      <alignment horizontal="right" vertical="center"/>
    </xf>
    <xf numFmtId="0" fontId="10" fillId="0" borderId="46" xfId="0" applyNumberFormat="1" applyFont="1" applyFill="1" applyBorder="1" applyAlignment="1" applyProtection="1">
      <alignment horizontal="right" vertical="center"/>
    </xf>
    <xf numFmtId="0" fontId="9" fillId="0" borderId="49" xfId="0" applyNumberFormat="1" applyFont="1" applyFill="1" applyBorder="1" applyAlignment="1" applyProtection="1">
      <alignment horizontal="left" vertical="center"/>
    </xf>
    <xf numFmtId="4" fontId="10" fillId="0" borderId="53" xfId="0" applyNumberFormat="1" applyFont="1" applyFill="1" applyBorder="1" applyAlignment="1" applyProtection="1">
      <alignment horizontal="right" vertical="center"/>
    </xf>
    <xf numFmtId="0" fontId="10" fillId="0" borderId="53" xfId="0" applyNumberFormat="1" applyFont="1" applyFill="1" applyBorder="1" applyAlignment="1" applyProtection="1">
      <alignment horizontal="right" vertical="center"/>
    </xf>
    <xf numFmtId="4" fontId="10" fillId="0" borderId="44" xfId="0" applyNumberFormat="1" applyFont="1" applyFill="1" applyBorder="1" applyAlignment="1" applyProtection="1">
      <alignment horizontal="right" vertical="center"/>
    </xf>
    <xf numFmtId="4" fontId="10" fillId="0" borderId="25" xfId="0" applyNumberFormat="1" applyFont="1" applyFill="1" applyBorder="1" applyAlignment="1" applyProtection="1">
      <alignment horizontal="right" vertical="center"/>
    </xf>
    <xf numFmtId="4" fontId="9" fillId="2" borderId="43" xfId="0" applyNumberFormat="1" applyFont="1" applyFill="1" applyBorder="1" applyAlignment="1" applyProtection="1">
      <alignment horizontal="right" vertical="center"/>
    </xf>
    <xf numFmtId="4" fontId="9" fillId="2" borderId="48" xfId="0" applyNumberFormat="1" applyFont="1" applyFill="1" applyBorder="1" applyAlignment="1" applyProtection="1">
      <alignment horizontal="right" vertical="center"/>
    </xf>
    <xf numFmtId="0" fontId="5" fillId="0" borderId="29" xfId="0" applyNumberFormat="1" applyFont="1" applyFill="1" applyBorder="1" applyAlignment="1" applyProtection="1">
      <alignment horizontal="left" vertical="center"/>
    </xf>
    <xf numFmtId="0" fontId="2" fillId="0" borderId="69" xfId="0" applyNumberFormat="1" applyFont="1" applyFill="1" applyBorder="1" applyAlignment="1" applyProtection="1">
      <alignment horizontal="right" vertical="center"/>
    </xf>
    <xf numFmtId="4" fontId="3" fillId="0" borderId="46" xfId="0" applyNumberFormat="1" applyFont="1" applyFill="1" applyBorder="1" applyAlignment="1" applyProtection="1">
      <alignment horizontal="right" vertical="center"/>
    </xf>
    <xf numFmtId="0" fontId="3" fillId="0" borderId="46" xfId="0" applyNumberFormat="1" applyFont="1" applyFill="1" applyBorder="1" applyAlignment="1" applyProtection="1">
      <alignment horizontal="left" vertical="center"/>
    </xf>
    <xf numFmtId="4" fontId="3" fillId="0" borderId="73" xfId="0" applyNumberFormat="1" applyFont="1" applyFill="1" applyBorder="1" applyAlignment="1" applyProtection="1">
      <alignment horizontal="right" vertical="center"/>
    </xf>
    <xf numFmtId="0" fontId="3" fillId="0" borderId="73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left" vertical="center"/>
    </xf>
    <xf numFmtId="0" fontId="2" fillId="0" borderId="76" xfId="0" applyNumberFormat="1" applyFont="1" applyFill="1" applyBorder="1" applyAlignment="1" applyProtection="1">
      <alignment horizontal="right" vertical="center"/>
    </xf>
    <xf numFmtId="4" fontId="2" fillId="0" borderId="76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13" xfId="0" applyNumberFormat="1" applyFont="1" applyFill="1" applyBorder="1" applyAlignment="1" applyProtection="1">
      <alignment horizontal="left" vertical="center"/>
    </xf>
    <xf numFmtId="0" fontId="2" fillId="0" borderId="21" xfId="0" applyNumberFormat="1" applyFont="1" applyFill="1" applyBorder="1" applyAlignment="1" applyProtection="1">
      <alignment horizontal="left" vertical="center"/>
    </xf>
    <xf numFmtId="0" fontId="2" fillId="0" borderId="22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2" borderId="29" xfId="0" applyNumberFormat="1" applyFont="1" applyFill="1" applyBorder="1" applyAlignment="1" applyProtection="1">
      <alignment horizontal="left" vertical="center" wrapText="1"/>
    </xf>
    <xf numFmtId="0" fontId="2" fillId="2" borderId="29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/>
    </xf>
    <xf numFmtId="0" fontId="2" fillId="0" borderId="34" xfId="0" applyNumberFormat="1" applyFont="1" applyFill="1" applyBorder="1" applyAlignment="1" applyProtection="1">
      <alignment horizontal="left" vertical="center"/>
    </xf>
    <xf numFmtId="0" fontId="3" fillId="0" borderId="32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2" fillId="0" borderId="35" xfId="0" applyNumberFormat="1" applyFont="1" applyFill="1" applyBorder="1" applyAlignment="1" applyProtection="1">
      <alignment horizontal="left" vertical="center"/>
    </xf>
    <xf numFmtId="0" fontId="2" fillId="0" borderId="36" xfId="0" applyNumberFormat="1" applyFont="1" applyFill="1" applyBorder="1" applyAlignment="1" applyProtection="1">
      <alignment horizontal="left" vertical="center"/>
    </xf>
    <xf numFmtId="0" fontId="3" fillId="0" borderId="28" xfId="0" applyNumberFormat="1" applyFont="1" applyFill="1" applyBorder="1" applyAlignment="1" applyProtection="1">
      <alignment horizontal="left" vertical="center"/>
    </xf>
    <xf numFmtId="0" fontId="3" fillId="0" borderId="29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3" fillId="0" borderId="31" xfId="0" applyNumberFormat="1" applyFont="1" applyFill="1" applyBorder="1" applyAlignment="1" applyProtection="1">
      <alignment horizontal="left" vertical="center"/>
    </xf>
    <xf numFmtId="1" fontId="3" fillId="0" borderId="6" xfId="0" applyNumberFormat="1" applyFont="1" applyFill="1" applyBorder="1" applyAlignment="1" applyProtection="1">
      <alignment horizontal="left" vertical="center"/>
    </xf>
    <xf numFmtId="0" fontId="3" fillId="0" borderId="33" xfId="0" applyNumberFormat="1" applyFont="1" applyFill="1" applyBorder="1" applyAlignment="1" applyProtection="1">
      <alignment horizontal="left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8" fillId="0" borderId="42" xfId="0" applyNumberFormat="1" applyFont="1" applyFill="1" applyBorder="1" applyAlignment="1" applyProtection="1">
      <alignment horizontal="left" vertical="center"/>
    </xf>
    <xf numFmtId="0" fontId="8" fillId="0" borderId="43" xfId="0" applyNumberFormat="1" applyFont="1" applyFill="1" applyBorder="1" applyAlignment="1" applyProtection="1">
      <alignment horizontal="left" vertical="center"/>
    </xf>
    <xf numFmtId="0" fontId="9" fillId="0" borderId="50" xfId="0" applyNumberFormat="1" applyFont="1" applyFill="1" applyBorder="1" applyAlignment="1" applyProtection="1">
      <alignment horizontal="left" vertical="center"/>
    </xf>
    <xf numFmtId="0" fontId="9" fillId="0" borderId="48" xfId="0" applyNumberFormat="1" applyFont="1" applyFill="1" applyBorder="1" applyAlignment="1" applyProtection="1">
      <alignment horizontal="left" vertical="center"/>
    </xf>
    <xf numFmtId="0" fontId="9" fillId="0" borderId="51" xfId="0" applyNumberFormat="1" applyFont="1" applyFill="1" applyBorder="1" applyAlignment="1" applyProtection="1">
      <alignment horizontal="left" vertical="center"/>
    </xf>
    <xf numFmtId="0" fontId="9" fillId="0" borderId="52" xfId="0" applyNumberFormat="1" applyFont="1" applyFill="1" applyBorder="1" applyAlignment="1" applyProtection="1">
      <alignment horizontal="left" vertical="center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0" fontId="10" fillId="0" borderId="47" xfId="0" applyNumberFormat="1" applyFont="1" applyFill="1" applyBorder="1" applyAlignment="1" applyProtection="1">
      <alignment horizontal="left" vertical="center"/>
    </xf>
    <xf numFmtId="0" fontId="10" fillId="0" borderId="48" xfId="0" applyNumberFormat="1" applyFont="1" applyFill="1" applyBorder="1" applyAlignment="1" applyProtection="1">
      <alignment horizontal="left" vertical="center"/>
    </xf>
    <xf numFmtId="0" fontId="10" fillId="0" borderId="54" xfId="0" applyNumberFormat="1" applyFont="1" applyFill="1" applyBorder="1" applyAlignment="1" applyProtection="1">
      <alignment horizontal="left" vertical="center"/>
    </xf>
    <xf numFmtId="0" fontId="10" fillId="0" borderId="52" xfId="0" applyNumberFormat="1" applyFont="1" applyFill="1" applyBorder="1" applyAlignment="1" applyProtection="1">
      <alignment horizontal="left" vertical="center"/>
    </xf>
    <xf numFmtId="0" fontId="9" fillId="0" borderId="42" xfId="0" applyNumberFormat="1" applyFont="1" applyFill="1" applyBorder="1" applyAlignment="1" applyProtection="1">
      <alignment horizontal="left" vertical="center"/>
    </xf>
    <xf numFmtId="0" fontId="9" fillId="0" borderId="47" xfId="0" applyNumberFormat="1" applyFont="1" applyFill="1" applyBorder="1" applyAlignment="1" applyProtection="1">
      <alignment horizontal="left" vertical="center"/>
    </xf>
    <xf numFmtId="0" fontId="9" fillId="2" borderId="55" xfId="0" applyNumberFormat="1" applyFont="1" applyFill="1" applyBorder="1" applyAlignment="1" applyProtection="1">
      <alignment horizontal="left" vertical="center"/>
    </xf>
    <xf numFmtId="0" fontId="9" fillId="2" borderId="56" xfId="0" applyNumberFormat="1" applyFont="1" applyFill="1" applyBorder="1" applyAlignment="1" applyProtection="1">
      <alignment horizontal="left" vertical="center"/>
    </xf>
    <xf numFmtId="0" fontId="9" fillId="2" borderId="50" xfId="0" applyNumberFormat="1" applyFont="1" applyFill="1" applyBorder="1" applyAlignment="1" applyProtection="1">
      <alignment horizontal="left" vertical="center"/>
    </xf>
    <xf numFmtId="0" fontId="9" fillId="2" borderId="57" xfId="0" applyNumberFormat="1" applyFont="1" applyFill="1" applyBorder="1" applyAlignment="1" applyProtection="1">
      <alignment horizontal="left" vertical="center"/>
    </xf>
    <xf numFmtId="0" fontId="9" fillId="2" borderId="42" xfId="0" applyNumberFormat="1" applyFont="1" applyFill="1" applyBorder="1" applyAlignment="1" applyProtection="1">
      <alignment horizontal="left" vertical="center"/>
    </xf>
    <xf numFmtId="0" fontId="9" fillId="2" borderId="47" xfId="0" applyNumberFormat="1" applyFont="1" applyFill="1" applyBorder="1" applyAlignment="1" applyProtection="1">
      <alignment horizontal="left" vertical="center"/>
    </xf>
    <xf numFmtId="0" fontId="10" fillId="0" borderId="58" xfId="0" applyNumberFormat="1" applyFont="1" applyFill="1" applyBorder="1" applyAlignment="1" applyProtection="1">
      <alignment horizontal="left" vertical="center"/>
    </xf>
    <xf numFmtId="0" fontId="10" fillId="0" borderId="59" xfId="0" applyNumberFormat="1" applyFont="1" applyFill="1" applyBorder="1" applyAlignment="1" applyProtection="1">
      <alignment horizontal="left" vertical="center"/>
    </xf>
    <xf numFmtId="0" fontId="10" fillId="0" borderId="60" xfId="0" applyNumberFormat="1" applyFont="1" applyFill="1" applyBorder="1" applyAlignment="1" applyProtection="1">
      <alignment horizontal="left" vertical="center"/>
    </xf>
    <xf numFmtId="0" fontId="10" fillId="0" borderId="62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63" xfId="0" applyNumberFormat="1" applyFont="1" applyFill="1" applyBorder="1" applyAlignment="1" applyProtection="1">
      <alignment horizontal="left" vertical="center"/>
    </xf>
    <xf numFmtId="0" fontId="10" fillId="0" borderId="65" xfId="0" applyNumberFormat="1" applyFont="1" applyFill="1" applyBorder="1" applyAlignment="1" applyProtection="1">
      <alignment horizontal="left" vertical="center"/>
    </xf>
    <xf numFmtId="0" fontId="10" fillId="0" borderId="66" xfId="0" applyNumberFormat="1" applyFont="1" applyFill="1" applyBorder="1" applyAlignment="1" applyProtection="1">
      <alignment horizontal="left" vertical="center"/>
    </xf>
    <xf numFmtId="0" fontId="10" fillId="0" borderId="67" xfId="0" applyNumberFormat="1" applyFont="1" applyFill="1" applyBorder="1" applyAlignment="1" applyProtection="1">
      <alignment horizontal="left" vertical="center"/>
    </xf>
    <xf numFmtId="0" fontId="10" fillId="0" borderId="61" xfId="0" applyNumberFormat="1" applyFont="1" applyFill="1" applyBorder="1" applyAlignment="1" applyProtection="1">
      <alignment horizontal="left" vertical="center"/>
    </xf>
    <xf numFmtId="0" fontId="10" fillId="0" borderId="64" xfId="0" applyNumberFormat="1" applyFont="1" applyFill="1" applyBorder="1" applyAlignment="1" applyProtection="1">
      <alignment horizontal="left" vertical="center"/>
    </xf>
    <xf numFmtId="0" fontId="10" fillId="0" borderId="68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 applyProtection="1">
      <alignment horizontal="left" vertical="center"/>
    </xf>
    <xf numFmtId="0" fontId="2" fillId="0" borderId="16" xfId="0" applyNumberFormat="1" applyFont="1" applyFill="1" applyBorder="1" applyAlignment="1" applyProtection="1">
      <alignment horizontal="left" vertical="center"/>
    </xf>
    <xf numFmtId="0" fontId="2" fillId="0" borderId="17" xfId="0" applyNumberFormat="1" applyFont="1" applyFill="1" applyBorder="1" applyAlignment="1" applyProtection="1">
      <alignment horizontal="left" vertical="center"/>
    </xf>
    <xf numFmtId="0" fontId="3" fillId="0" borderId="50" xfId="0" applyNumberFormat="1" applyFont="1" applyFill="1" applyBorder="1" applyAlignment="1" applyProtection="1">
      <alignment horizontal="left" vertical="center"/>
    </xf>
    <xf numFmtId="0" fontId="3" fillId="0" borderId="57" xfId="0" applyNumberFormat="1" applyFont="1" applyFill="1" applyBorder="1" applyAlignment="1" applyProtection="1">
      <alignment horizontal="left" vertical="center"/>
    </xf>
    <xf numFmtId="0" fontId="3" fillId="0" borderId="48" xfId="0" applyNumberFormat="1" applyFont="1" applyFill="1" applyBorder="1" applyAlignment="1" applyProtection="1">
      <alignment horizontal="left" vertical="center"/>
    </xf>
    <xf numFmtId="0" fontId="3" fillId="0" borderId="70" xfId="0" applyNumberFormat="1" applyFont="1" applyFill="1" applyBorder="1" applyAlignment="1" applyProtection="1">
      <alignment horizontal="left" vertical="center"/>
    </xf>
    <xf numFmtId="0" fontId="3" fillId="0" borderId="71" xfId="0" applyNumberFormat="1" applyFont="1" applyFill="1" applyBorder="1" applyAlignment="1" applyProtection="1">
      <alignment horizontal="left" vertical="center"/>
    </xf>
    <xf numFmtId="0" fontId="3" fillId="0" borderId="72" xfId="0" applyNumberFormat="1" applyFont="1" applyFill="1" applyBorder="1" applyAlignment="1" applyProtection="1">
      <alignment horizontal="left" vertical="center"/>
    </xf>
    <xf numFmtId="0" fontId="2" fillId="0" borderId="74" xfId="0" applyNumberFormat="1" applyFont="1" applyFill="1" applyBorder="1" applyAlignment="1" applyProtection="1">
      <alignment horizontal="left" vertical="center"/>
    </xf>
    <xf numFmtId="0" fontId="2" fillId="0" borderId="75" xfId="0" applyNumberFormat="1" applyFont="1" applyFill="1" applyBorder="1" applyAlignment="1" applyProtection="1">
      <alignment horizontal="left" vertical="center"/>
    </xf>
    <xf numFmtId="0" fontId="9" fillId="0" borderId="35" xfId="0" applyNumberFormat="1" applyFont="1" applyFill="1" applyBorder="1" applyAlignment="1" applyProtection="1">
      <alignment horizontal="left" vertical="center"/>
    </xf>
    <xf numFmtId="0" fontId="9" fillId="0" borderId="74" xfId="0" applyNumberFormat="1" applyFont="1" applyFill="1" applyBorder="1" applyAlignment="1" applyProtection="1">
      <alignment horizontal="left" vertical="center"/>
    </xf>
    <xf numFmtId="0" fontId="9" fillId="0" borderId="75" xfId="0" applyNumberFormat="1" applyFont="1" applyFill="1" applyBorder="1" applyAlignment="1" applyProtection="1">
      <alignment horizontal="left" vertical="center"/>
    </xf>
    <xf numFmtId="4" fontId="9" fillId="0" borderId="77" xfId="0" applyNumberFormat="1" applyFont="1" applyFill="1" applyBorder="1" applyAlignment="1" applyProtection="1">
      <alignment horizontal="right" vertical="center"/>
    </xf>
    <xf numFmtId="0" fontId="9" fillId="0" borderId="74" xfId="0" applyNumberFormat="1" applyFont="1" applyFill="1" applyBorder="1" applyAlignment="1" applyProtection="1">
      <alignment horizontal="right" vertical="center"/>
    </xf>
    <xf numFmtId="0" fontId="9" fillId="0" borderId="75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666750" cy="666750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6750" cy="666750"/>
        </a:xfrm>
        <a:prstGeom prst="rect">
          <a:avLst/>
        </a:prstGeom>
        <a:noFill/>
        <a:ln w="9525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Z126"/>
  <sheetViews>
    <sheetView tabSelected="1" workbookViewId="0">
      <pane ySplit="11" topLeftCell="A12" activePane="bottomLeft" state="frozen"/>
      <selection pane="bottomLeft" activeCell="A126" sqref="A126:K126"/>
    </sheetView>
  </sheetViews>
  <sheetFormatPr defaultColWidth="12.140625" defaultRowHeight="15" customHeight="1" x14ac:dyDescent="0.25"/>
  <cols>
    <col min="1" max="1" width="4" customWidth="1"/>
    <col min="2" max="2" width="17.85546875" customWidth="1"/>
    <col min="3" max="3" width="42.85546875" customWidth="1"/>
    <col min="4" max="4" width="29.140625" customWidth="1"/>
    <col min="5" max="5" width="4.28515625" customWidth="1"/>
    <col min="6" max="6" width="12.85546875" customWidth="1"/>
    <col min="7" max="7" width="12" customWidth="1"/>
    <col min="8" max="10" width="15.7109375" customWidth="1"/>
    <col min="11" max="11" width="13.42578125" customWidth="1"/>
    <col min="25" max="75" width="12.140625" hidden="1"/>
    <col min="76" max="76" width="72" hidden="1" customWidth="1"/>
    <col min="77" max="78" width="12.140625" hidden="1"/>
  </cols>
  <sheetData>
    <row r="1" spans="1:76" ht="54.75" customHeight="1" x14ac:dyDescent="0.2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AS1" s="1">
        <f>SUM(AJ1:AJ2)</f>
        <v>0</v>
      </c>
      <c r="AT1" s="1">
        <f>SUM(AK1:AK2)</f>
        <v>0</v>
      </c>
      <c r="AU1" s="1">
        <f>SUM(AL1:AL2)</f>
        <v>0</v>
      </c>
    </row>
    <row r="2" spans="1:76" x14ac:dyDescent="0.25">
      <c r="A2" s="71" t="s">
        <v>1</v>
      </c>
      <c r="B2" s="72"/>
      <c r="C2" s="80" t="s">
        <v>2</v>
      </c>
      <c r="D2" s="81"/>
      <c r="E2" s="72" t="s">
        <v>3</v>
      </c>
      <c r="F2" s="72"/>
      <c r="G2" s="72" t="s">
        <v>4</v>
      </c>
      <c r="H2" s="78" t="s">
        <v>5</v>
      </c>
      <c r="I2" s="78" t="s">
        <v>6</v>
      </c>
      <c r="J2" s="72"/>
      <c r="K2" s="83"/>
    </row>
    <row r="3" spans="1:76" x14ac:dyDescent="0.25">
      <c r="A3" s="73"/>
      <c r="B3" s="74"/>
      <c r="C3" s="82"/>
      <c r="D3" s="82"/>
      <c r="E3" s="74"/>
      <c r="F3" s="74"/>
      <c r="G3" s="74"/>
      <c r="H3" s="74"/>
      <c r="I3" s="74"/>
      <c r="J3" s="74"/>
      <c r="K3" s="84"/>
    </row>
    <row r="4" spans="1:76" x14ac:dyDescent="0.25">
      <c r="A4" s="75" t="s">
        <v>7</v>
      </c>
      <c r="B4" s="74"/>
      <c r="C4" s="79" t="s">
        <v>8</v>
      </c>
      <c r="D4" s="74"/>
      <c r="E4" s="74" t="s">
        <v>9</v>
      </c>
      <c r="F4" s="74"/>
      <c r="G4" s="74" t="s">
        <v>10</v>
      </c>
      <c r="H4" s="79" t="s">
        <v>11</v>
      </c>
      <c r="I4" s="79" t="s">
        <v>12</v>
      </c>
      <c r="J4" s="74"/>
      <c r="K4" s="84"/>
    </row>
    <row r="5" spans="1:76" x14ac:dyDescent="0.25">
      <c r="A5" s="73"/>
      <c r="B5" s="74"/>
      <c r="C5" s="74"/>
      <c r="D5" s="74"/>
      <c r="E5" s="74"/>
      <c r="F5" s="74"/>
      <c r="G5" s="74"/>
      <c r="H5" s="74"/>
      <c r="I5" s="74"/>
      <c r="J5" s="74"/>
      <c r="K5" s="84"/>
    </row>
    <row r="6" spans="1:76" x14ac:dyDescent="0.25">
      <c r="A6" s="75" t="s">
        <v>13</v>
      </c>
      <c r="B6" s="74"/>
      <c r="C6" s="79" t="s">
        <v>14</v>
      </c>
      <c r="D6" s="74"/>
      <c r="E6" s="74" t="s">
        <v>15</v>
      </c>
      <c r="F6" s="74"/>
      <c r="G6" s="74" t="s">
        <v>4</v>
      </c>
      <c r="H6" s="79" t="s">
        <v>16</v>
      </c>
      <c r="I6" s="79" t="s">
        <v>17</v>
      </c>
      <c r="J6" s="74"/>
      <c r="K6" s="84"/>
    </row>
    <row r="7" spans="1:76" x14ac:dyDescent="0.25">
      <c r="A7" s="73"/>
      <c r="B7" s="74"/>
      <c r="C7" s="74"/>
      <c r="D7" s="74"/>
      <c r="E7" s="74"/>
      <c r="F7" s="74"/>
      <c r="G7" s="74"/>
      <c r="H7" s="74"/>
      <c r="I7" s="74"/>
      <c r="J7" s="74"/>
      <c r="K7" s="84"/>
    </row>
    <row r="8" spans="1:76" x14ac:dyDescent="0.25">
      <c r="A8" s="75" t="s">
        <v>18</v>
      </c>
      <c r="B8" s="74"/>
      <c r="C8" s="79" t="s">
        <v>4</v>
      </c>
      <c r="D8" s="74"/>
      <c r="E8" s="74" t="s">
        <v>19</v>
      </c>
      <c r="F8" s="74"/>
      <c r="G8" s="74" t="s">
        <v>10</v>
      </c>
      <c r="H8" s="79" t="s">
        <v>20</v>
      </c>
      <c r="I8" s="79" t="s">
        <v>21</v>
      </c>
      <c r="J8" s="74"/>
      <c r="K8" s="84"/>
    </row>
    <row r="9" spans="1:76" x14ac:dyDescent="0.25">
      <c r="A9" s="76"/>
      <c r="B9" s="77"/>
      <c r="C9" s="77"/>
      <c r="D9" s="77"/>
      <c r="E9" s="77"/>
      <c r="F9" s="77"/>
      <c r="G9" s="77"/>
      <c r="H9" s="77"/>
      <c r="I9" s="77"/>
      <c r="J9" s="77"/>
      <c r="K9" s="85"/>
    </row>
    <row r="10" spans="1:76" x14ac:dyDescent="0.25">
      <c r="A10" s="6" t="s">
        <v>22</v>
      </c>
      <c r="B10" s="7" t="s">
        <v>23</v>
      </c>
      <c r="C10" s="86" t="s">
        <v>24</v>
      </c>
      <c r="D10" s="87"/>
      <c r="E10" s="7" t="s">
        <v>25</v>
      </c>
      <c r="F10" s="8" t="s">
        <v>26</v>
      </c>
      <c r="G10" s="9" t="s">
        <v>27</v>
      </c>
      <c r="H10" s="90" t="s">
        <v>28</v>
      </c>
      <c r="I10" s="91"/>
      <c r="J10" s="92"/>
      <c r="K10" s="10" t="s">
        <v>29</v>
      </c>
      <c r="BK10" s="11" t="s">
        <v>30</v>
      </c>
      <c r="BL10" s="12" t="s">
        <v>31</v>
      </c>
      <c r="BW10" s="12" t="s">
        <v>32</v>
      </c>
    </row>
    <row r="11" spans="1:76" x14ac:dyDescent="0.25">
      <c r="A11" s="13" t="s">
        <v>4</v>
      </c>
      <c r="B11" s="14" t="s">
        <v>4</v>
      </c>
      <c r="C11" s="88" t="s">
        <v>33</v>
      </c>
      <c r="D11" s="89"/>
      <c r="E11" s="14" t="s">
        <v>4</v>
      </c>
      <c r="F11" s="14" t="s">
        <v>4</v>
      </c>
      <c r="G11" s="15" t="s">
        <v>34</v>
      </c>
      <c r="H11" s="16" t="s">
        <v>35</v>
      </c>
      <c r="I11" s="17" t="s">
        <v>36</v>
      </c>
      <c r="J11" s="18" t="s">
        <v>37</v>
      </c>
      <c r="K11" s="19" t="s">
        <v>38</v>
      </c>
      <c r="Z11" s="11" t="s">
        <v>39</v>
      </c>
      <c r="AA11" s="11" t="s">
        <v>40</v>
      </c>
      <c r="AB11" s="11" t="s">
        <v>41</v>
      </c>
      <c r="AC11" s="11" t="s">
        <v>42</v>
      </c>
      <c r="AD11" s="11" t="s">
        <v>43</v>
      </c>
      <c r="AE11" s="11" t="s">
        <v>44</v>
      </c>
      <c r="AF11" s="11" t="s">
        <v>45</v>
      </c>
      <c r="AG11" s="11" t="s">
        <v>46</v>
      </c>
      <c r="AH11" s="11" t="s">
        <v>47</v>
      </c>
      <c r="BH11" s="11" t="s">
        <v>48</v>
      </c>
      <c r="BI11" s="11" t="s">
        <v>49</v>
      </c>
      <c r="BJ11" s="11" t="s">
        <v>50</v>
      </c>
    </row>
    <row r="12" spans="1:76" x14ac:dyDescent="0.25">
      <c r="A12" s="20" t="s">
        <v>51</v>
      </c>
      <c r="B12" s="21" t="s">
        <v>52</v>
      </c>
      <c r="C12" s="93" t="s">
        <v>53</v>
      </c>
      <c r="D12" s="94"/>
      <c r="E12" s="22" t="s">
        <v>4</v>
      </c>
      <c r="F12" s="22" t="s">
        <v>4</v>
      </c>
      <c r="G12" s="22" t="s">
        <v>4</v>
      </c>
      <c r="H12" s="23">
        <f>SUM(H13:H13)</f>
        <v>0</v>
      </c>
      <c r="I12" s="23">
        <f>SUM(I13:I13)</f>
        <v>0</v>
      </c>
      <c r="J12" s="23">
        <f>SUM(J13:J13)</f>
        <v>0</v>
      </c>
      <c r="K12" s="24" t="s">
        <v>51</v>
      </c>
      <c r="AI12" s="11" t="s">
        <v>51</v>
      </c>
      <c r="AS12" s="1">
        <f>SUM(AJ13:AJ13)</f>
        <v>0</v>
      </c>
      <c r="AT12" s="1">
        <f>SUM(AK13:AK13)</f>
        <v>0</v>
      </c>
      <c r="AU12" s="1">
        <f>SUM(AL13:AL13)</f>
        <v>0</v>
      </c>
    </row>
    <row r="13" spans="1:76" x14ac:dyDescent="0.25">
      <c r="A13" s="2" t="s">
        <v>54</v>
      </c>
      <c r="B13" s="3" t="s">
        <v>55</v>
      </c>
      <c r="C13" s="79" t="s">
        <v>56</v>
      </c>
      <c r="D13" s="74"/>
      <c r="E13" s="3" t="s">
        <v>57</v>
      </c>
      <c r="F13" s="25">
        <v>22</v>
      </c>
      <c r="G13" s="25">
        <v>0</v>
      </c>
      <c r="H13" s="25">
        <f>F13*AO13</f>
        <v>0</v>
      </c>
      <c r="I13" s="25">
        <f>F13*AP13</f>
        <v>0</v>
      </c>
      <c r="J13" s="25">
        <f>F13*G13</f>
        <v>0</v>
      </c>
      <c r="K13" s="26" t="s">
        <v>58</v>
      </c>
      <c r="Z13" s="25">
        <f>IF(AQ13="5",BJ13,0)</f>
        <v>0</v>
      </c>
      <c r="AB13" s="25">
        <f>IF(AQ13="1",BH13,0)</f>
        <v>0</v>
      </c>
      <c r="AC13" s="25">
        <f>IF(AQ13="1",BI13,0)</f>
        <v>0</v>
      </c>
      <c r="AD13" s="25">
        <f>IF(AQ13="7",BH13,0)</f>
        <v>0</v>
      </c>
      <c r="AE13" s="25">
        <f>IF(AQ13="7",BI13,0)</f>
        <v>0</v>
      </c>
      <c r="AF13" s="25">
        <f>IF(AQ13="2",BH13,0)</f>
        <v>0</v>
      </c>
      <c r="AG13" s="25">
        <f>IF(AQ13="2",BI13,0)</f>
        <v>0</v>
      </c>
      <c r="AH13" s="25">
        <f>IF(AQ13="0",BJ13,0)</f>
        <v>0</v>
      </c>
      <c r="AI13" s="11" t="s">
        <v>51</v>
      </c>
      <c r="AJ13" s="25">
        <f>IF(AN13=0,J13,0)</f>
        <v>0</v>
      </c>
      <c r="AK13" s="25">
        <f>IF(AN13=12,J13,0)</f>
        <v>0</v>
      </c>
      <c r="AL13" s="25">
        <f>IF(AN13=21,J13,0)</f>
        <v>0</v>
      </c>
      <c r="AN13" s="25">
        <v>21</v>
      </c>
      <c r="AO13" s="25">
        <f>G13*0.339766797</f>
        <v>0</v>
      </c>
      <c r="AP13" s="25">
        <f>G13*(1-0.339766797)</f>
        <v>0</v>
      </c>
      <c r="AQ13" s="27" t="s">
        <v>54</v>
      </c>
      <c r="AV13" s="25">
        <f>AW13+AX13</f>
        <v>0</v>
      </c>
      <c r="AW13" s="25">
        <f>F13*AO13</f>
        <v>0</v>
      </c>
      <c r="AX13" s="25">
        <f>F13*AP13</f>
        <v>0</v>
      </c>
      <c r="AY13" s="27" t="s">
        <v>59</v>
      </c>
      <c r="AZ13" s="27" t="s">
        <v>60</v>
      </c>
      <c r="BA13" s="11" t="s">
        <v>61</v>
      </c>
      <c r="BC13" s="25">
        <f>AW13+AX13</f>
        <v>0</v>
      </c>
      <c r="BD13" s="25">
        <f>G13/(100-BE13)*100</f>
        <v>0</v>
      </c>
      <c r="BE13" s="25">
        <v>0</v>
      </c>
      <c r="BF13" s="25">
        <f>13</f>
        <v>13</v>
      </c>
      <c r="BH13" s="25">
        <f>F13*AO13</f>
        <v>0</v>
      </c>
      <c r="BI13" s="25">
        <f>F13*AP13</f>
        <v>0</v>
      </c>
      <c r="BJ13" s="25">
        <f>F13*G13</f>
        <v>0</v>
      </c>
      <c r="BK13" s="25"/>
      <c r="BL13" s="25">
        <v>60</v>
      </c>
      <c r="BW13" s="25">
        <v>21</v>
      </c>
      <c r="BX13" s="5" t="s">
        <v>56</v>
      </c>
    </row>
    <row r="14" spans="1:76" x14ac:dyDescent="0.25">
      <c r="A14" s="28"/>
      <c r="C14" s="29" t="s">
        <v>62</v>
      </c>
      <c r="D14" s="29" t="s">
        <v>51</v>
      </c>
      <c r="F14" s="30">
        <v>22</v>
      </c>
      <c r="K14" s="31"/>
    </row>
    <row r="15" spans="1:76" x14ac:dyDescent="0.25">
      <c r="A15" s="32" t="s">
        <v>51</v>
      </c>
      <c r="B15" s="33" t="s">
        <v>63</v>
      </c>
      <c r="C15" s="95" t="s">
        <v>64</v>
      </c>
      <c r="D15" s="96"/>
      <c r="E15" s="34" t="s">
        <v>4</v>
      </c>
      <c r="F15" s="34" t="s">
        <v>4</v>
      </c>
      <c r="G15" s="34" t="s">
        <v>4</v>
      </c>
      <c r="H15" s="1">
        <f>SUM(H16:H20)</f>
        <v>0</v>
      </c>
      <c r="I15" s="1">
        <f>SUM(I16:I20)</f>
        <v>0</v>
      </c>
      <c r="J15" s="1">
        <f>SUM(J16:J20)</f>
        <v>0</v>
      </c>
      <c r="K15" s="35" t="s">
        <v>51</v>
      </c>
      <c r="AI15" s="11" t="s">
        <v>51</v>
      </c>
      <c r="AS15" s="1">
        <f>SUM(AJ16:AJ20)</f>
        <v>0</v>
      </c>
      <c r="AT15" s="1">
        <f>SUM(AK16:AK20)</f>
        <v>0</v>
      </c>
      <c r="AU15" s="1">
        <f>SUM(AL16:AL20)</f>
        <v>0</v>
      </c>
    </row>
    <row r="16" spans="1:76" x14ac:dyDescent="0.25">
      <c r="A16" s="2" t="s">
        <v>65</v>
      </c>
      <c r="B16" s="3" t="s">
        <v>66</v>
      </c>
      <c r="C16" s="79" t="s">
        <v>67</v>
      </c>
      <c r="D16" s="74"/>
      <c r="E16" s="3" t="s">
        <v>68</v>
      </c>
      <c r="F16" s="25">
        <v>6</v>
      </c>
      <c r="G16" s="25">
        <v>0</v>
      </c>
      <c r="H16" s="25">
        <f>F16*AO16</f>
        <v>0</v>
      </c>
      <c r="I16" s="25">
        <f>F16*AP16</f>
        <v>0</v>
      </c>
      <c r="J16" s="25">
        <f>F16*G16</f>
        <v>0</v>
      </c>
      <c r="K16" s="26" t="s">
        <v>58</v>
      </c>
      <c r="Z16" s="25">
        <f>IF(AQ16="5",BJ16,0)</f>
        <v>0</v>
      </c>
      <c r="AB16" s="25">
        <f>IF(AQ16="1",BH16,0)</f>
        <v>0</v>
      </c>
      <c r="AC16" s="25">
        <f>IF(AQ16="1",BI16,0)</f>
        <v>0</v>
      </c>
      <c r="AD16" s="25">
        <f>IF(AQ16="7",BH16,0)</f>
        <v>0</v>
      </c>
      <c r="AE16" s="25">
        <f>IF(AQ16="7",BI16,0)</f>
        <v>0</v>
      </c>
      <c r="AF16" s="25">
        <f>IF(AQ16="2",BH16,0)</f>
        <v>0</v>
      </c>
      <c r="AG16" s="25">
        <f>IF(AQ16="2",BI16,0)</f>
        <v>0</v>
      </c>
      <c r="AH16" s="25">
        <f>IF(AQ16="0",BJ16,0)</f>
        <v>0</v>
      </c>
      <c r="AI16" s="11" t="s">
        <v>51</v>
      </c>
      <c r="AJ16" s="25">
        <f>IF(AN16=0,J16,0)</f>
        <v>0</v>
      </c>
      <c r="AK16" s="25">
        <f>IF(AN16=12,J16,0)</f>
        <v>0</v>
      </c>
      <c r="AL16" s="25">
        <f>IF(AN16=21,J16,0)</f>
        <v>0</v>
      </c>
      <c r="AN16" s="25">
        <v>21</v>
      </c>
      <c r="AO16" s="25">
        <f>G16*0</f>
        <v>0</v>
      </c>
      <c r="AP16" s="25">
        <f>G16*(1-0)</f>
        <v>0</v>
      </c>
      <c r="AQ16" s="27" t="s">
        <v>54</v>
      </c>
      <c r="AV16" s="25">
        <f>AW16+AX16</f>
        <v>0</v>
      </c>
      <c r="AW16" s="25">
        <f>F16*AO16</f>
        <v>0</v>
      </c>
      <c r="AX16" s="25">
        <f>F16*AP16</f>
        <v>0</v>
      </c>
      <c r="AY16" s="27" t="s">
        <v>69</v>
      </c>
      <c r="AZ16" s="27" t="s">
        <v>70</v>
      </c>
      <c r="BA16" s="11" t="s">
        <v>61</v>
      </c>
      <c r="BC16" s="25">
        <f>AW16+AX16</f>
        <v>0</v>
      </c>
      <c r="BD16" s="25">
        <f>G16/(100-BE16)*100</f>
        <v>0</v>
      </c>
      <c r="BE16" s="25">
        <v>0</v>
      </c>
      <c r="BF16" s="25">
        <f>16</f>
        <v>16</v>
      </c>
      <c r="BH16" s="25">
        <f>F16*AO16</f>
        <v>0</v>
      </c>
      <c r="BI16" s="25">
        <f>F16*AP16</f>
        <v>0</v>
      </c>
      <c r="BJ16" s="25">
        <f>F16*G16</f>
        <v>0</v>
      </c>
      <c r="BK16" s="25"/>
      <c r="BL16" s="25">
        <v>97</v>
      </c>
      <c r="BW16" s="25">
        <v>21</v>
      </c>
      <c r="BX16" s="5" t="s">
        <v>67</v>
      </c>
    </row>
    <row r="17" spans="1:76" x14ac:dyDescent="0.25">
      <c r="A17" s="28"/>
      <c r="C17" s="29" t="s">
        <v>71</v>
      </c>
      <c r="D17" s="29" t="s">
        <v>51</v>
      </c>
      <c r="F17" s="30">
        <v>6</v>
      </c>
      <c r="K17" s="31"/>
    </row>
    <row r="18" spans="1:76" x14ac:dyDescent="0.25">
      <c r="A18" s="2" t="s">
        <v>72</v>
      </c>
      <c r="B18" s="3" t="s">
        <v>73</v>
      </c>
      <c r="C18" s="79" t="s">
        <v>74</v>
      </c>
      <c r="D18" s="74"/>
      <c r="E18" s="3" t="s">
        <v>75</v>
      </c>
      <c r="F18" s="25">
        <v>76.900000000000006</v>
      </c>
      <c r="G18" s="25">
        <v>0</v>
      </c>
      <c r="H18" s="25">
        <f>F18*AO18</f>
        <v>0</v>
      </c>
      <c r="I18" s="25">
        <f>F18*AP18</f>
        <v>0</v>
      </c>
      <c r="J18" s="25">
        <f>F18*G18</f>
        <v>0</v>
      </c>
      <c r="K18" s="26" t="s">
        <v>58</v>
      </c>
      <c r="Z18" s="25">
        <f>IF(AQ18="5",BJ18,0)</f>
        <v>0</v>
      </c>
      <c r="AB18" s="25">
        <f>IF(AQ18="1",BH18,0)</f>
        <v>0</v>
      </c>
      <c r="AC18" s="25">
        <f>IF(AQ18="1",BI18,0)</f>
        <v>0</v>
      </c>
      <c r="AD18" s="25">
        <f>IF(AQ18="7",BH18,0)</f>
        <v>0</v>
      </c>
      <c r="AE18" s="25">
        <f>IF(AQ18="7",BI18,0)</f>
        <v>0</v>
      </c>
      <c r="AF18" s="25">
        <f>IF(AQ18="2",BH18,0)</f>
        <v>0</v>
      </c>
      <c r="AG18" s="25">
        <f>IF(AQ18="2",BI18,0)</f>
        <v>0</v>
      </c>
      <c r="AH18" s="25">
        <f>IF(AQ18="0",BJ18,0)</f>
        <v>0</v>
      </c>
      <c r="AI18" s="11" t="s">
        <v>51</v>
      </c>
      <c r="AJ18" s="25">
        <f>IF(AN18=0,J18,0)</f>
        <v>0</v>
      </c>
      <c r="AK18" s="25">
        <f>IF(AN18=12,J18,0)</f>
        <v>0</v>
      </c>
      <c r="AL18" s="25">
        <f>IF(AN18=21,J18,0)</f>
        <v>0</v>
      </c>
      <c r="AN18" s="25">
        <v>21</v>
      </c>
      <c r="AO18" s="25">
        <f>G18*0.222515163</f>
        <v>0</v>
      </c>
      <c r="AP18" s="25">
        <f>G18*(1-0.222515163)</f>
        <v>0</v>
      </c>
      <c r="AQ18" s="27" t="s">
        <v>54</v>
      </c>
      <c r="AV18" s="25">
        <f>AW18+AX18</f>
        <v>0</v>
      </c>
      <c r="AW18" s="25">
        <f>F18*AO18</f>
        <v>0</v>
      </c>
      <c r="AX18" s="25">
        <f>F18*AP18</f>
        <v>0</v>
      </c>
      <c r="AY18" s="27" t="s">
        <v>69</v>
      </c>
      <c r="AZ18" s="27" t="s">
        <v>70</v>
      </c>
      <c r="BA18" s="11" t="s">
        <v>61</v>
      </c>
      <c r="BC18" s="25">
        <f>AW18+AX18</f>
        <v>0</v>
      </c>
      <c r="BD18" s="25">
        <f>G18/(100-BE18)*100</f>
        <v>0</v>
      </c>
      <c r="BE18" s="25">
        <v>0</v>
      </c>
      <c r="BF18" s="25">
        <f>18</f>
        <v>18</v>
      </c>
      <c r="BH18" s="25">
        <f>F18*AO18</f>
        <v>0</v>
      </c>
      <c r="BI18" s="25">
        <f>F18*AP18</f>
        <v>0</v>
      </c>
      <c r="BJ18" s="25">
        <f>F18*G18</f>
        <v>0</v>
      </c>
      <c r="BK18" s="25"/>
      <c r="BL18" s="25">
        <v>97</v>
      </c>
      <c r="BW18" s="25">
        <v>21</v>
      </c>
      <c r="BX18" s="5" t="s">
        <v>74</v>
      </c>
    </row>
    <row r="19" spans="1:76" x14ac:dyDescent="0.25">
      <c r="A19" s="28"/>
      <c r="C19" s="29" t="s">
        <v>76</v>
      </c>
      <c r="D19" s="29" t="s">
        <v>51</v>
      </c>
      <c r="F19" s="30">
        <v>76.900000000000006</v>
      </c>
      <c r="K19" s="31"/>
    </row>
    <row r="20" spans="1:76" x14ac:dyDescent="0.25">
      <c r="A20" s="2" t="s">
        <v>77</v>
      </c>
      <c r="B20" s="3" t="s">
        <v>78</v>
      </c>
      <c r="C20" s="79" t="s">
        <v>79</v>
      </c>
      <c r="D20" s="74"/>
      <c r="E20" s="3" t="s">
        <v>75</v>
      </c>
      <c r="F20" s="25">
        <v>16</v>
      </c>
      <c r="G20" s="25">
        <v>0</v>
      </c>
      <c r="H20" s="25">
        <f>F20*AO20</f>
        <v>0</v>
      </c>
      <c r="I20" s="25">
        <f>F20*AP20</f>
        <v>0</v>
      </c>
      <c r="J20" s="25">
        <f>F20*G20</f>
        <v>0</v>
      </c>
      <c r="K20" s="26" t="s">
        <v>58</v>
      </c>
      <c r="Z20" s="25">
        <f>IF(AQ20="5",BJ20,0)</f>
        <v>0</v>
      </c>
      <c r="AB20" s="25">
        <f>IF(AQ20="1",BH20,0)</f>
        <v>0</v>
      </c>
      <c r="AC20" s="25">
        <f>IF(AQ20="1",BI20,0)</f>
        <v>0</v>
      </c>
      <c r="AD20" s="25">
        <f>IF(AQ20="7",BH20,0)</f>
        <v>0</v>
      </c>
      <c r="AE20" s="25">
        <f>IF(AQ20="7",BI20,0)</f>
        <v>0</v>
      </c>
      <c r="AF20" s="25">
        <f>IF(AQ20="2",BH20,0)</f>
        <v>0</v>
      </c>
      <c r="AG20" s="25">
        <f>IF(AQ20="2",BI20,0)</f>
        <v>0</v>
      </c>
      <c r="AH20" s="25">
        <f>IF(AQ20="0",BJ20,0)</f>
        <v>0</v>
      </c>
      <c r="AI20" s="11" t="s">
        <v>51</v>
      </c>
      <c r="AJ20" s="25">
        <f>IF(AN20=0,J20,0)</f>
        <v>0</v>
      </c>
      <c r="AK20" s="25">
        <f>IF(AN20=12,J20,0)</f>
        <v>0</v>
      </c>
      <c r="AL20" s="25">
        <f>IF(AN20=21,J20,0)</f>
        <v>0</v>
      </c>
      <c r="AN20" s="25">
        <v>21</v>
      </c>
      <c r="AO20" s="25">
        <f>G20*0.201828411</f>
        <v>0</v>
      </c>
      <c r="AP20" s="25">
        <f>G20*(1-0.201828411)</f>
        <v>0</v>
      </c>
      <c r="AQ20" s="27" t="s">
        <v>54</v>
      </c>
      <c r="AV20" s="25">
        <f>AW20+AX20</f>
        <v>0</v>
      </c>
      <c r="AW20" s="25">
        <f>F20*AO20</f>
        <v>0</v>
      </c>
      <c r="AX20" s="25">
        <f>F20*AP20</f>
        <v>0</v>
      </c>
      <c r="AY20" s="27" t="s">
        <v>69</v>
      </c>
      <c r="AZ20" s="27" t="s">
        <v>70</v>
      </c>
      <c r="BA20" s="11" t="s">
        <v>61</v>
      </c>
      <c r="BC20" s="25">
        <f>AW20+AX20</f>
        <v>0</v>
      </c>
      <c r="BD20" s="25">
        <f>G20/(100-BE20)*100</f>
        <v>0</v>
      </c>
      <c r="BE20" s="25">
        <v>0</v>
      </c>
      <c r="BF20" s="25">
        <f>20</f>
        <v>20</v>
      </c>
      <c r="BH20" s="25">
        <f>F20*AO20</f>
        <v>0</v>
      </c>
      <c r="BI20" s="25">
        <f>F20*AP20</f>
        <v>0</v>
      </c>
      <c r="BJ20" s="25">
        <f>F20*G20</f>
        <v>0</v>
      </c>
      <c r="BK20" s="25"/>
      <c r="BL20" s="25">
        <v>97</v>
      </c>
      <c r="BW20" s="25">
        <v>21</v>
      </c>
      <c r="BX20" s="5" t="s">
        <v>79</v>
      </c>
    </row>
    <row r="21" spans="1:76" x14ac:dyDescent="0.25">
      <c r="A21" s="28"/>
      <c r="C21" s="29" t="s">
        <v>80</v>
      </c>
      <c r="D21" s="29" t="s">
        <v>51</v>
      </c>
      <c r="F21" s="30">
        <v>16</v>
      </c>
      <c r="K21" s="31"/>
    </row>
    <row r="22" spans="1:76" x14ac:dyDescent="0.25">
      <c r="A22" s="32" t="s">
        <v>51</v>
      </c>
      <c r="B22" s="33" t="s">
        <v>81</v>
      </c>
      <c r="C22" s="95" t="s">
        <v>82</v>
      </c>
      <c r="D22" s="96"/>
      <c r="E22" s="34" t="s">
        <v>4</v>
      </c>
      <c r="F22" s="34" t="s">
        <v>4</v>
      </c>
      <c r="G22" s="34" t="s">
        <v>4</v>
      </c>
      <c r="H22" s="1">
        <f>SUM(H23:H83)</f>
        <v>0</v>
      </c>
      <c r="I22" s="1">
        <f>SUM(I23:I83)</f>
        <v>0</v>
      </c>
      <c r="J22" s="1">
        <f>SUM(J23:J83)</f>
        <v>0</v>
      </c>
      <c r="K22" s="35" t="s">
        <v>51</v>
      </c>
      <c r="AI22" s="11" t="s">
        <v>51</v>
      </c>
      <c r="AS22" s="1">
        <f>SUM(AJ23:AJ83)</f>
        <v>0</v>
      </c>
      <c r="AT22" s="1">
        <f>SUM(AK23:AK83)</f>
        <v>0</v>
      </c>
      <c r="AU22" s="1">
        <f>SUM(AL23:AL83)</f>
        <v>0</v>
      </c>
    </row>
    <row r="23" spans="1:76" x14ac:dyDescent="0.25">
      <c r="A23" s="2" t="s">
        <v>83</v>
      </c>
      <c r="B23" s="3" t="s">
        <v>84</v>
      </c>
      <c r="C23" s="79" t="s">
        <v>85</v>
      </c>
      <c r="D23" s="74"/>
      <c r="E23" s="3" t="s">
        <v>68</v>
      </c>
      <c r="F23" s="25">
        <v>1</v>
      </c>
      <c r="G23" s="25">
        <v>0</v>
      </c>
      <c r="H23" s="25">
        <f>F23*AO23</f>
        <v>0</v>
      </c>
      <c r="I23" s="25">
        <f>F23*AP23</f>
        <v>0</v>
      </c>
      <c r="J23" s="25">
        <f>F23*G23</f>
        <v>0</v>
      </c>
      <c r="K23" s="26" t="s">
        <v>58</v>
      </c>
      <c r="Z23" s="25">
        <f>IF(AQ23="5",BJ23,0)</f>
        <v>0</v>
      </c>
      <c r="AB23" s="25">
        <f>IF(AQ23="1",BH23,0)</f>
        <v>0</v>
      </c>
      <c r="AC23" s="25">
        <f>IF(AQ23="1",BI23,0)</f>
        <v>0</v>
      </c>
      <c r="AD23" s="25">
        <f>IF(AQ23="7",BH23,0)</f>
        <v>0</v>
      </c>
      <c r="AE23" s="25">
        <f>IF(AQ23="7",BI23,0)</f>
        <v>0</v>
      </c>
      <c r="AF23" s="25">
        <f>IF(AQ23="2",BH23,0)</f>
        <v>0</v>
      </c>
      <c r="AG23" s="25">
        <f>IF(AQ23="2",BI23,0)</f>
        <v>0</v>
      </c>
      <c r="AH23" s="25">
        <f>IF(AQ23="0",BJ23,0)</f>
        <v>0</v>
      </c>
      <c r="AI23" s="11" t="s">
        <v>51</v>
      </c>
      <c r="AJ23" s="25">
        <f>IF(AN23=0,J23,0)</f>
        <v>0</v>
      </c>
      <c r="AK23" s="25">
        <f>IF(AN23=12,J23,0)</f>
        <v>0</v>
      </c>
      <c r="AL23" s="25">
        <f>IF(AN23=21,J23,0)</f>
        <v>0</v>
      </c>
      <c r="AN23" s="25">
        <v>21</v>
      </c>
      <c r="AO23" s="25">
        <f>G23*0</f>
        <v>0</v>
      </c>
      <c r="AP23" s="25">
        <f>G23*(1-0)</f>
        <v>0</v>
      </c>
      <c r="AQ23" s="27" t="s">
        <v>65</v>
      </c>
      <c r="AV23" s="25">
        <f>AW23+AX23</f>
        <v>0</v>
      </c>
      <c r="AW23" s="25">
        <f>F23*AO23</f>
        <v>0</v>
      </c>
      <c r="AX23" s="25">
        <f>F23*AP23</f>
        <v>0</v>
      </c>
      <c r="AY23" s="27" t="s">
        <v>86</v>
      </c>
      <c r="AZ23" s="27" t="s">
        <v>70</v>
      </c>
      <c r="BA23" s="11" t="s">
        <v>61</v>
      </c>
      <c r="BC23" s="25">
        <f>AW23+AX23</f>
        <v>0</v>
      </c>
      <c r="BD23" s="25">
        <f>G23/(100-BE23)*100</f>
        <v>0</v>
      </c>
      <c r="BE23" s="25">
        <v>0</v>
      </c>
      <c r="BF23" s="25">
        <f>23</f>
        <v>23</v>
      </c>
      <c r="BH23" s="25">
        <f>F23*AO23</f>
        <v>0</v>
      </c>
      <c r="BI23" s="25">
        <f>F23*AP23</f>
        <v>0</v>
      </c>
      <c r="BJ23" s="25">
        <f>F23*G23</f>
        <v>0</v>
      </c>
      <c r="BK23" s="25"/>
      <c r="BL23" s="25"/>
      <c r="BW23" s="25">
        <v>21</v>
      </c>
      <c r="BX23" s="5" t="s">
        <v>85</v>
      </c>
    </row>
    <row r="24" spans="1:76" x14ac:dyDescent="0.25">
      <c r="A24" s="28"/>
      <c r="C24" s="29" t="s">
        <v>54</v>
      </c>
      <c r="D24" s="29" t="s">
        <v>51</v>
      </c>
      <c r="F24" s="30">
        <v>1</v>
      </c>
      <c r="K24" s="31"/>
    </row>
    <row r="25" spans="1:76" x14ac:dyDescent="0.25">
      <c r="A25" s="2" t="s">
        <v>71</v>
      </c>
      <c r="B25" s="3" t="s">
        <v>87</v>
      </c>
      <c r="C25" s="79" t="s">
        <v>88</v>
      </c>
      <c r="D25" s="74"/>
      <c r="E25" s="3" t="s">
        <v>68</v>
      </c>
      <c r="F25" s="25">
        <v>4</v>
      </c>
      <c r="G25" s="25">
        <v>0</v>
      </c>
      <c r="H25" s="25">
        <f>F25*AO25</f>
        <v>0</v>
      </c>
      <c r="I25" s="25">
        <f>F25*AP25</f>
        <v>0</v>
      </c>
      <c r="J25" s="25">
        <f>F25*G25</f>
        <v>0</v>
      </c>
      <c r="K25" s="26" t="s">
        <v>58</v>
      </c>
      <c r="Z25" s="25">
        <f>IF(AQ25="5",BJ25,0)</f>
        <v>0</v>
      </c>
      <c r="AB25" s="25">
        <f>IF(AQ25="1",BH25,0)</f>
        <v>0</v>
      </c>
      <c r="AC25" s="25">
        <f>IF(AQ25="1",BI25,0)</f>
        <v>0</v>
      </c>
      <c r="AD25" s="25">
        <f>IF(AQ25="7",BH25,0)</f>
        <v>0</v>
      </c>
      <c r="AE25" s="25">
        <f>IF(AQ25="7",BI25,0)</f>
        <v>0</v>
      </c>
      <c r="AF25" s="25">
        <f>IF(AQ25="2",BH25,0)</f>
        <v>0</v>
      </c>
      <c r="AG25" s="25">
        <f>IF(AQ25="2",BI25,0)</f>
        <v>0</v>
      </c>
      <c r="AH25" s="25">
        <f>IF(AQ25="0",BJ25,0)</f>
        <v>0</v>
      </c>
      <c r="AI25" s="11" t="s">
        <v>51</v>
      </c>
      <c r="AJ25" s="25">
        <f>IF(AN25=0,J25,0)</f>
        <v>0</v>
      </c>
      <c r="AK25" s="25">
        <f>IF(AN25=12,J25,0)</f>
        <v>0</v>
      </c>
      <c r="AL25" s="25">
        <f>IF(AN25=21,J25,0)</f>
        <v>0</v>
      </c>
      <c r="AN25" s="25">
        <v>21</v>
      </c>
      <c r="AO25" s="25">
        <f>G25*0.089076577</f>
        <v>0</v>
      </c>
      <c r="AP25" s="25">
        <f>G25*(1-0.089076577)</f>
        <v>0</v>
      </c>
      <c r="AQ25" s="27" t="s">
        <v>65</v>
      </c>
      <c r="AV25" s="25">
        <f>AW25+AX25</f>
        <v>0</v>
      </c>
      <c r="AW25" s="25">
        <f>F25*AO25</f>
        <v>0</v>
      </c>
      <c r="AX25" s="25">
        <f>F25*AP25</f>
        <v>0</v>
      </c>
      <c r="AY25" s="27" t="s">
        <v>86</v>
      </c>
      <c r="AZ25" s="27" t="s">
        <v>70</v>
      </c>
      <c r="BA25" s="11" t="s">
        <v>61</v>
      </c>
      <c r="BC25" s="25">
        <f>AW25+AX25</f>
        <v>0</v>
      </c>
      <c r="BD25" s="25">
        <f>G25/(100-BE25)*100</f>
        <v>0</v>
      </c>
      <c r="BE25" s="25">
        <v>0</v>
      </c>
      <c r="BF25" s="25">
        <f>25</f>
        <v>25</v>
      </c>
      <c r="BH25" s="25">
        <f>F25*AO25</f>
        <v>0</v>
      </c>
      <c r="BI25" s="25">
        <f>F25*AP25</f>
        <v>0</v>
      </c>
      <c r="BJ25" s="25">
        <f>F25*G25</f>
        <v>0</v>
      </c>
      <c r="BK25" s="25"/>
      <c r="BL25" s="25"/>
      <c r="BW25" s="25">
        <v>21</v>
      </c>
      <c r="BX25" s="5" t="s">
        <v>88</v>
      </c>
    </row>
    <row r="26" spans="1:76" x14ac:dyDescent="0.25">
      <c r="A26" s="28"/>
      <c r="C26" s="29" t="s">
        <v>77</v>
      </c>
      <c r="D26" s="29" t="s">
        <v>89</v>
      </c>
      <c r="F26" s="30">
        <v>4</v>
      </c>
      <c r="K26" s="31"/>
    </row>
    <row r="27" spans="1:76" x14ac:dyDescent="0.25">
      <c r="A27" s="2" t="s">
        <v>90</v>
      </c>
      <c r="B27" s="3" t="s">
        <v>91</v>
      </c>
      <c r="C27" s="79" t="s">
        <v>92</v>
      </c>
      <c r="D27" s="74"/>
      <c r="E27" s="3" t="s">
        <v>68</v>
      </c>
      <c r="F27" s="25">
        <v>23</v>
      </c>
      <c r="G27" s="25">
        <v>0</v>
      </c>
      <c r="H27" s="25">
        <f>F27*AO27</f>
        <v>0</v>
      </c>
      <c r="I27" s="25">
        <f>F27*AP27</f>
        <v>0</v>
      </c>
      <c r="J27" s="25">
        <f>F27*G27</f>
        <v>0</v>
      </c>
      <c r="K27" s="26" t="s">
        <v>58</v>
      </c>
      <c r="Z27" s="25">
        <f>IF(AQ27="5",BJ27,0)</f>
        <v>0</v>
      </c>
      <c r="AB27" s="25">
        <f>IF(AQ27="1",BH27,0)</f>
        <v>0</v>
      </c>
      <c r="AC27" s="25">
        <f>IF(AQ27="1",BI27,0)</f>
        <v>0</v>
      </c>
      <c r="AD27" s="25">
        <f>IF(AQ27="7",BH27,0)</f>
        <v>0</v>
      </c>
      <c r="AE27" s="25">
        <f>IF(AQ27="7",BI27,0)</f>
        <v>0</v>
      </c>
      <c r="AF27" s="25">
        <f>IF(AQ27="2",BH27,0)</f>
        <v>0</v>
      </c>
      <c r="AG27" s="25">
        <f>IF(AQ27="2",BI27,0)</f>
        <v>0</v>
      </c>
      <c r="AH27" s="25">
        <f>IF(AQ27="0",BJ27,0)</f>
        <v>0</v>
      </c>
      <c r="AI27" s="11" t="s">
        <v>51</v>
      </c>
      <c r="AJ27" s="25">
        <f>IF(AN27=0,J27,0)</f>
        <v>0</v>
      </c>
      <c r="AK27" s="25">
        <f>IF(AN27=12,J27,0)</f>
        <v>0</v>
      </c>
      <c r="AL27" s="25">
        <f>IF(AN27=21,J27,0)</f>
        <v>0</v>
      </c>
      <c r="AN27" s="25">
        <v>21</v>
      </c>
      <c r="AO27" s="25">
        <f>G27*0.131512605</f>
        <v>0</v>
      </c>
      <c r="AP27" s="25">
        <f>G27*(1-0.131512605)</f>
        <v>0</v>
      </c>
      <c r="AQ27" s="27" t="s">
        <v>65</v>
      </c>
      <c r="AV27" s="25">
        <f>AW27+AX27</f>
        <v>0</v>
      </c>
      <c r="AW27" s="25">
        <f>F27*AO27</f>
        <v>0</v>
      </c>
      <c r="AX27" s="25">
        <f>F27*AP27</f>
        <v>0</v>
      </c>
      <c r="AY27" s="27" t="s">
        <v>86</v>
      </c>
      <c r="AZ27" s="27" t="s">
        <v>70</v>
      </c>
      <c r="BA27" s="11" t="s">
        <v>61</v>
      </c>
      <c r="BC27" s="25">
        <f>AW27+AX27</f>
        <v>0</v>
      </c>
      <c r="BD27" s="25">
        <f>G27/(100-BE27)*100</f>
        <v>0</v>
      </c>
      <c r="BE27" s="25">
        <v>0</v>
      </c>
      <c r="BF27" s="25">
        <f>27</f>
        <v>27</v>
      </c>
      <c r="BH27" s="25">
        <f>F27*AO27</f>
        <v>0</v>
      </c>
      <c r="BI27" s="25">
        <f>F27*AP27</f>
        <v>0</v>
      </c>
      <c r="BJ27" s="25">
        <f>F27*G27</f>
        <v>0</v>
      </c>
      <c r="BK27" s="25"/>
      <c r="BL27" s="25"/>
      <c r="BW27" s="25">
        <v>21</v>
      </c>
      <c r="BX27" s="5" t="s">
        <v>92</v>
      </c>
    </row>
    <row r="28" spans="1:76" x14ac:dyDescent="0.25">
      <c r="A28" s="28"/>
      <c r="C28" s="29" t="s">
        <v>93</v>
      </c>
      <c r="D28" s="29" t="s">
        <v>89</v>
      </c>
      <c r="F28" s="30">
        <v>23</v>
      </c>
      <c r="K28" s="31"/>
    </row>
    <row r="29" spans="1:76" x14ac:dyDescent="0.25">
      <c r="A29" s="2" t="s">
        <v>94</v>
      </c>
      <c r="B29" s="3" t="s">
        <v>95</v>
      </c>
      <c r="C29" s="79" t="s">
        <v>96</v>
      </c>
      <c r="D29" s="74"/>
      <c r="E29" s="3" t="s">
        <v>68</v>
      </c>
      <c r="F29" s="25">
        <v>4</v>
      </c>
      <c r="G29" s="25">
        <v>0</v>
      </c>
      <c r="H29" s="25">
        <f>F29*AO29</f>
        <v>0</v>
      </c>
      <c r="I29" s="25">
        <f>F29*AP29</f>
        <v>0</v>
      </c>
      <c r="J29" s="25">
        <f>F29*G29</f>
        <v>0</v>
      </c>
      <c r="K29" s="26" t="s">
        <v>58</v>
      </c>
      <c r="Z29" s="25">
        <f>IF(AQ29="5",BJ29,0)</f>
        <v>0</v>
      </c>
      <c r="AB29" s="25">
        <f>IF(AQ29="1",BH29,0)</f>
        <v>0</v>
      </c>
      <c r="AC29" s="25">
        <f>IF(AQ29="1",BI29,0)</f>
        <v>0</v>
      </c>
      <c r="AD29" s="25">
        <f>IF(AQ29="7",BH29,0)</f>
        <v>0</v>
      </c>
      <c r="AE29" s="25">
        <f>IF(AQ29="7",BI29,0)</f>
        <v>0</v>
      </c>
      <c r="AF29" s="25">
        <f>IF(AQ29="2",BH29,0)</f>
        <v>0</v>
      </c>
      <c r="AG29" s="25">
        <f>IF(AQ29="2",BI29,0)</f>
        <v>0</v>
      </c>
      <c r="AH29" s="25">
        <f>IF(AQ29="0",BJ29,0)</f>
        <v>0</v>
      </c>
      <c r="AI29" s="11" t="s">
        <v>51</v>
      </c>
      <c r="AJ29" s="25">
        <f>IF(AN29=0,J29,0)</f>
        <v>0</v>
      </c>
      <c r="AK29" s="25">
        <f>IF(AN29=12,J29,0)</f>
        <v>0</v>
      </c>
      <c r="AL29" s="25">
        <f>IF(AN29=21,J29,0)</f>
        <v>0</v>
      </c>
      <c r="AN29" s="25">
        <v>21</v>
      </c>
      <c r="AO29" s="25">
        <f>G29*0.367407483</f>
        <v>0</v>
      </c>
      <c r="AP29" s="25">
        <f>G29*(1-0.367407483)</f>
        <v>0</v>
      </c>
      <c r="AQ29" s="27" t="s">
        <v>65</v>
      </c>
      <c r="AV29" s="25">
        <f>AW29+AX29</f>
        <v>0</v>
      </c>
      <c r="AW29" s="25">
        <f>F29*AO29</f>
        <v>0</v>
      </c>
      <c r="AX29" s="25">
        <f>F29*AP29</f>
        <v>0</v>
      </c>
      <c r="AY29" s="27" t="s">
        <v>86</v>
      </c>
      <c r="AZ29" s="27" t="s">
        <v>70</v>
      </c>
      <c r="BA29" s="11" t="s">
        <v>61</v>
      </c>
      <c r="BC29" s="25">
        <f>AW29+AX29</f>
        <v>0</v>
      </c>
      <c r="BD29" s="25">
        <f>G29/(100-BE29)*100</f>
        <v>0</v>
      </c>
      <c r="BE29" s="25">
        <v>0</v>
      </c>
      <c r="BF29" s="25">
        <f>29</f>
        <v>29</v>
      </c>
      <c r="BH29" s="25">
        <f>F29*AO29</f>
        <v>0</v>
      </c>
      <c r="BI29" s="25">
        <f>F29*AP29</f>
        <v>0</v>
      </c>
      <c r="BJ29" s="25">
        <f>F29*G29</f>
        <v>0</v>
      </c>
      <c r="BK29" s="25"/>
      <c r="BL29" s="25"/>
      <c r="BW29" s="25">
        <v>21</v>
      </c>
      <c r="BX29" s="5" t="s">
        <v>96</v>
      </c>
    </row>
    <row r="30" spans="1:76" x14ac:dyDescent="0.25">
      <c r="A30" s="28"/>
      <c r="C30" s="29" t="s">
        <v>77</v>
      </c>
      <c r="D30" s="29" t="s">
        <v>97</v>
      </c>
      <c r="F30" s="30">
        <v>4</v>
      </c>
      <c r="K30" s="31"/>
    </row>
    <row r="31" spans="1:76" x14ac:dyDescent="0.25">
      <c r="A31" s="2" t="s">
        <v>98</v>
      </c>
      <c r="B31" s="3" t="s">
        <v>99</v>
      </c>
      <c r="C31" s="79" t="s">
        <v>100</v>
      </c>
      <c r="D31" s="74"/>
      <c r="E31" s="3" t="s">
        <v>75</v>
      </c>
      <c r="F31" s="25">
        <v>20.6</v>
      </c>
      <c r="G31" s="25">
        <v>0</v>
      </c>
      <c r="H31" s="25">
        <f>F31*AO31</f>
        <v>0</v>
      </c>
      <c r="I31" s="25">
        <f>F31*AP31</f>
        <v>0</v>
      </c>
      <c r="J31" s="25">
        <f>F31*G31</f>
        <v>0</v>
      </c>
      <c r="K31" s="26" t="s">
        <v>58</v>
      </c>
      <c r="Z31" s="25">
        <f>IF(AQ31="5",BJ31,0)</f>
        <v>0</v>
      </c>
      <c r="AB31" s="25">
        <f>IF(AQ31="1",BH31,0)</f>
        <v>0</v>
      </c>
      <c r="AC31" s="25">
        <f>IF(AQ31="1",BI31,0)</f>
        <v>0</v>
      </c>
      <c r="AD31" s="25">
        <f>IF(AQ31="7",BH31,0)</f>
        <v>0</v>
      </c>
      <c r="AE31" s="25">
        <f>IF(AQ31="7",BI31,0)</f>
        <v>0</v>
      </c>
      <c r="AF31" s="25">
        <f>IF(AQ31="2",BH31,0)</f>
        <v>0</v>
      </c>
      <c r="AG31" s="25">
        <f>IF(AQ31="2",BI31,0)</f>
        <v>0</v>
      </c>
      <c r="AH31" s="25">
        <f>IF(AQ31="0",BJ31,0)</f>
        <v>0</v>
      </c>
      <c r="AI31" s="11" t="s">
        <v>51</v>
      </c>
      <c r="AJ31" s="25">
        <f>IF(AN31=0,J31,0)</f>
        <v>0</v>
      </c>
      <c r="AK31" s="25">
        <f>IF(AN31=12,J31,0)</f>
        <v>0</v>
      </c>
      <c r="AL31" s="25">
        <f>IF(AN31=21,J31,0)</f>
        <v>0</v>
      </c>
      <c r="AN31" s="25">
        <v>21</v>
      </c>
      <c r="AO31" s="25">
        <f>G31*0.361534669</f>
        <v>0</v>
      </c>
      <c r="AP31" s="25">
        <f>G31*(1-0.361534669)</f>
        <v>0</v>
      </c>
      <c r="AQ31" s="27" t="s">
        <v>65</v>
      </c>
      <c r="AV31" s="25">
        <f>AW31+AX31</f>
        <v>0</v>
      </c>
      <c r="AW31" s="25">
        <f>F31*AO31</f>
        <v>0</v>
      </c>
      <c r="AX31" s="25">
        <f>F31*AP31</f>
        <v>0</v>
      </c>
      <c r="AY31" s="27" t="s">
        <v>86</v>
      </c>
      <c r="AZ31" s="27" t="s">
        <v>70</v>
      </c>
      <c r="BA31" s="11" t="s">
        <v>61</v>
      </c>
      <c r="BC31" s="25">
        <f>AW31+AX31</f>
        <v>0</v>
      </c>
      <c r="BD31" s="25">
        <f>G31/(100-BE31)*100</f>
        <v>0</v>
      </c>
      <c r="BE31" s="25">
        <v>0</v>
      </c>
      <c r="BF31" s="25">
        <f>31</f>
        <v>31</v>
      </c>
      <c r="BH31" s="25">
        <f>F31*AO31</f>
        <v>0</v>
      </c>
      <c r="BI31" s="25">
        <f>F31*AP31</f>
        <v>0</v>
      </c>
      <c r="BJ31" s="25">
        <f>F31*G31</f>
        <v>0</v>
      </c>
      <c r="BK31" s="25"/>
      <c r="BL31" s="25"/>
      <c r="BW31" s="25">
        <v>21</v>
      </c>
      <c r="BX31" s="5" t="s">
        <v>100</v>
      </c>
    </row>
    <row r="32" spans="1:76" x14ac:dyDescent="0.25">
      <c r="A32" s="28"/>
      <c r="C32" s="29" t="s">
        <v>101</v>
      </c>
      <c r="D32" s="29" t="s">
        <v>51</v>
      </c>
      <c r="F32" s="30">
        <v>20.6</v>
      </c>
      <c r="K32" s="31"/>
    </row>
    <row r="33" spans="1:76" x14ac:dyDescent="0.25">
      <c r="A33" s="2" t="s">
        <v>102</v>
      </c>
      <c r="B33" s="3" t="s">
        <v>103</v>
      </c>
      <c r="C33" s="79" t="s">
        <v>104</v>
      </c>
      <c r="D33" s="74"/>
      <c r="E33" s="3" t="s">
        <v>75</v>
      </c>
      <c r="F33" s="25">
        <v>6.4</v>
      </c>
      <c r="G33" s="25">
        <v>0</v>
      </c>
      <c r="H33" s="25">
        <f>F33*AO33</f>
        <v>0</v>
      </c>
      <c r="I33" s="25">
        <f>F33*AP33</f>
        <v>0</v>
      </c>
      <c r="J33" s="25">
        <f>F33*G33</f>
        <v>0</v>
      </c>
      <c r="K33" s="26" t="s">
        <v>58</v>
      </c>
      <c r="Z33" s="25">
        <f>IF(AQ33="5",BJ33,0)</f>
        <v>0</v>
      </c>
      <c r="AB33" s="25">
        <f>IF(AQ33="1",BH33,0)</f>
        <v>0</v>
      </c>
      <c r="AC33" s="25">
        <f>IF(AQ33="1",BI33,0)</f>
        <v>0</v>
      </c>
      <c r="AD33" s="25">
        <f>IF(AQ33="7",BH33,0)</f>
        <v>0</v>
      </c>
      <c r="AE33" s="25">
        <f>IF(AQ33="7",BI33,0)</f>
        <v>0</v>
      </c>
      <c r="AF33" s="25">
        <f>IF(AQ33="2",BH33,0)</f>
        <v>0</v>
      </c>
      <c r="AG33" s="25">
        <f>IF(AQ33="2",BI33,0)</f>
        <v>0</v>
      </c>
      <c r="AH33" s="25">
        <f>IF(AQ33="0",BJ33,0)</f>
        <v>0</v>
      </c>
      <c r="AI33" s="11" t="s">
        <v>51</v>
      </c>
      <c r="AJ33" s="25">
        <f>IF(AN33=0,J33,0)</f>
        <v>0</v>
      </c>
      <c r="AK33" s="25">
        <f>IF(AN33=12,J33,0)</f>
        <v>0</v>
      </c>
      <c r="AL33" s="25">
        <f>IF(AN33=21,J33,0)</f>
        <v>0</v>
      </c>
      <c r="AN33" s="25">
        <v>21</v>
      </c>
      <c r="AO33" s="25">
        <f>G33*0</f>
        <v>0</v>
      </c>
      <c r="AP33" s="25">
        <f>G33*(1-0)</f>
        <v>0</v>
      </c>
      <c r="AQ33" s="27" t="s">
        <v>65</v>
      </c>
      <c r="AV33" s="25">
        <f>AW33+AX33</f>
        <v>0</v>
      </c>
      <c r="AW33" s="25">
        <f>F33*AO33</f>
        <v>0</v>
      </c>
      <c r="AX33" s="25">
        <f>F33*AP33</f>
        <v>0</v>
      </c>
      <c r="AY33" s="27" t="s">
        <v>86</v>
      </c>
      <c r="AZ33" s="27" t="s">
        <v>70</v>
      </c>
      <c r="BA33" s="11" t="s">
        <v>61</v>
      </c>
      <c r="BC33" s="25">
        <f>AW33+AX33</f>
        <v>0</v>
      </c>
      <c r="BD33" s="25">
        <f>G33/(100-BE33)*100</f>
        <v>0</v>
      </c>
      <c r="BE33" s="25">
        <v>0</v>
      </c>
      <c r="BF33" s="25">
        <f>33</f>
        <v>33</v>
      </c>
      <c r="BH33" s="25">
        <f>F33*AO33</f>
        <v>0</v>
      </c>
      <c r="BI33" s="25">
        <f>F33*AP33</f>
        <v>0</v>
      </c>
      <c r="BJ33" s="25">
        <f>F33*G33</f>
        <v>0</v>
      </c>
      <c r="BK33" s="25"/>
      <c r="BL33" s="25"/>
      <c r="BW33" s="25">
        <v>21</v>
      </c>
      <c r="BX33" s="5" t="s">
        <v>104</v>
      </c>
    </row>
    <row r="34" spans="1:76" x14ac:dyDescent="0.25">
      <c r="A34" s="28"/>
      <c r="C34" s="29" t="s">
        <v>105</v>
      </c>
      <c r="D34" s="29" t="s">
        <v>97</v>
      </c>
      <c r="F34" s="30">
        <v>6.4</v>
      </c>
      <c r="K34" s="31"/>
    </row>
    <row r="35" spans="1:76" x14ac:dyDescent="0.25">
      <c r="A35" s="2" t="s">
        <v>106</v>
      </c>
      <c r="B35" s="3" t="s">
        <v>107</v>
      </c>
      <c r="C35" s="79" t="s">
        <v>108</v>
      </c>
      <c r="D35" s="74"/>
      <c r="E35" s="3" t="s">
        <v>68</v>
      </c>
      <c r="F35" s="25">
        <v>14</v>
      </c>
      <c r="G35" s="25">
        <v>0</v>
      </c>
      <c r="H35" s="25">
        <f>F35*AO35</f>
        <v>0</v>
      </c>
      <c r="I35" s="25">
        <f>F35*AP35</f>
        <v>0</v>
      </c>
      <c r="J35" s="25">
        <f>F35*G35</f>
        <v>0</v>
      </c>
      <c r="K35" s="26" t="s">
        <v>58</v>
      </c>
      <c r="Z35" s="25">
        <f>IF(AQ35="5",BJ35,0)</f>
        <v>0</v>
      </c>
      <c r="AB35" s="25">
        <f>IF(AQ35="1",BH35,0)</f>
        <v>0</v>
      </c>
      <c r="AC35" s="25">
        <f>IF(AQ35="1",BI35,0)</f>
        <v>0</v>
      </c>
      <c r="AD35" s="25">
        <f>IF(AQ35="7",BH35,0)</f>
        <v>0</v>
      </c>
      <c r="AE35" s="25">
        <f>IF(AQ35="7",BI35,0)</f>
        <v>0</v>
      </c>
      <c r="AF35" s="25">
        <f>IF(AQ35="2",BH35,0)</f>
        <v>0</v>
      </c>
      <c r="AG35" s="25">
        <f>IF(AQ35="2",BI35,0)</f>
        <v>0</v>
      </c>
      <c r="AH35" s="25">
        <f>IF(AQ35="0",BJ35,0)</f>
        <v>0</v>
      </c>
      <c r="AI35" s="11" t="s">
        <v>51</v>
      </c>
      <c r="AJ35" s="25">
        <f>IF(AN35=0,J35,0)</f>
        <v>0</v>
      </c>
      <c r="AK35" s="25">
        <f>IF(AN35=12,J35,0)</f>
        <v>0</v>
      </c>
      <c r="AL35" s="25">
        <f>IF(AN35=21,J35,0)</f>
        <v>0</v>
      </c>
      <c r="AN35" s="25">
        <v>21</v>
      </c>
      <c r="AO35" s="25">
        <f>G35*0</f>
        <v>0</v>
      </c>
      <c r="AP35" s="25">
        <f>G35*(1-0)</f>
        <v>0</v>
      </c>
      <c r="AQ35" s="27" t="s">
        <v>65</v>
      </c>
      <c r="AV35" s="25">
        <f>AW35+AX35</f>
        <v>0</v>
      </c>
      <c r="AW35" s="25">
        <f>F35*AO35</f>
        <v>0</v>
      </c>
      <c r="AX35" s="25">
        <f>F35*AP35</f>
        <v>0</v>
      </c>
      <c r="AY35" s="27" t="s">
        <v>86</v>
      </c>
      <c r="AZ35" s="27" t="s">
        <v>70</v>
      </c>
      <c r="BA35" s="11" t="s">
        <v>61</v>
      </c>
      <c r="BC35" s="25">
        <f>AW35+AX35</f>
        <v>0</v>
      </c>
      <c r="BD35" s="25">
        <f>G35/(100-BE35)*100</f>
        <v>0</v>
      </c>
      <c r="BE35" s="25">
        <v>0</v>
      </c>
      <c r="BF35" s="25">
        <f>35</f>
        <v>35</v>
      </c>
      <c r="BH35" s="25">
        <f>F35*AO35</f>
        <v>0</v>
      </c>
      <c r="BI35" s="25">
        <f>F35*AP35</f>
        <v>0</v>
      </c>
      <c r="BJ35" s="25">
        <f>F35*G35</f>
        <v>0</v>
      </c>
      <c r="BK35" s="25"/>
      <c r="BL35" s="25"/>
      <c r="BW35" s="25">
        <v>21</v>
      </c>
      <c r="BX35" s="5" t="s">
        <v>108</v>
      </c>
    </row>
    <row r="36" spans="1:76" x14ac:dyDescent="0.25">
      <c r="A36" s="28"/>
      <c r="C36" s="29" t="s">
        <v>109</v>
      </c>
      <c r="D36" s="29" t="s">
        <v>51</v>
      </c>
      <c r="F36" s="30">
        <v>14</v>
      </c>
      <c r="K36" s="31"/>
    </row>
    <row r="37" spans="1:76" x14ac:dyDescent="0.25">
      <c r="A37" s="2" t="s">
        <v>110</v>
      </c>
      <c r="B37" s="3" t="s">
        <v>111</v>
      </c>
      <c r="C37" s="79" t="s">
        <v>112</v>
      </c>
      <c r="D37" s="74"/>
      <c r="E37" s="3" t="s">
        <v>75</v>
      </c>
      <c r="F37" s="25">
        <v>12</v>
      </c>
      <c r="G37" s="25">
        <v>0</v>
      </c>
      <c r="H37" s="25">
        <f>F37*AO37</f>
        <v>0</v>
      </c>
      <c r="I37" s="25">
        <f>F37*AP37</f>
        <v>0</v>
      </c>
      <c r="J37" s="25">
        <f>F37*G37</f>
        <v>0</v>
      </c>
      <c r="K37" s="26" t="s">
        <v>58</v>
      </c>
      <c r="Z37" s="25">
        <f>IF(AQ37="5",BJ37,0)</f>
        <v>0</v>
      </c>
      <c r="AB37" s="25">
        <f>IF(AQ37="1",BH37,0)</f>
        <v>0</v>
      </c>
      <c r="AC37" s="25">
        <f>IF(AQ37="1",BI37,0)</f>
        <v>0</v>
      </c>
      <c r="AD37" s="25">
        <f>IF(AQ37="7",BH37,0)</f>
        <v>0</v>
      </c>
      <c r="AE37" s="25">
        <f>IF(AQ37="7",BI37,0)</f>
        <v>0</v>
      </c>
      <c r="AF37" s="25">
        <f>IF(AQ37="2",BH37,0)</f>
        <v>0</v>
      </c>
      <c r="AG37" s="25">
        <f>IF(AQ37="2",BI37,0)</f>
        <v>0</v>
      </c>
      <c r="AH37" s="25">
        <f>IF(AQ37="0",BJ37,0)</f>
        <v>0</v>
      </c>
      <c r="AI37" s="11" t="s">
        <v>51</v>
      </c>
      <c r="AJ37" s="25">
        <f>IF(AN37=0,J37,0)</f>
        <v>0</v>
      </c>
      <c r="AK37" s="25">
        <f>IF(AN37=12,J37,0)</f>
        <v>0</v>
      </c>
      <c r="AL37" s="25">
        <f>IF(AN37=21,J37,0)</f>
        <v>0</v>
      </c>
      <c r="AN37" s="25">
        <v>21</v>
      </c>
      <c r="AO37" s="25">
        <f>G37*0.627155848</f>
        <v>0</v>
      </c>
      <c r="AP37" s="25">
        <f>G37*(1-0.627155848)</f>
        <v>0</v>
      </c>
      <c r="AQ37" s="27" t="s">
        <v>65</v>
      </c>
      <c r="AV37" s="25">
        <f>AW37+AX37</f>
        <v>0</v>
      </c>
      <c r="AW37" s="25">
        <f>F37*AO37</f>
        <v>0</v>
      </c>
      <c r="AX37" s="25">
        <f>F37*AP37</f>
        <v>0</v>
      </c>
      <c r="AY37" s="27" t="s">
        <v>86</v>
      </c>
      <c r="AZ37" s="27" t="s">
        <v>70</v>
      </c>
      <c r="BA37" s="11" t="s">
        <v>61</v>
      </c>
      <c r="BC37" s="25">
        <f>AW37+AX37</f>
        <v>0</v>
      </c>
      <c r="BD37" s="25">
        <f>G37/(100-BE37)*100</f>
        <v>0</v>
      </c>
      <c r="BE37" s="25">
        <v>0</v>
      </c>
      <c r="BF37" s="25">
        <f>37</f>
        <v>37</v>
      </c>
      <c r="BH37" s="25">
        <f>F37*AO37</f>
        <v>0</v>
      </c>
      <c r="BI37" s="25">
        <f>F37*AP37</f>
        <v>0</v>
      </c>
      <c r="BJ37" s="25">
        <f>F37*G37</f>
        <v>0</v>
      </c>
      <c r="BK37" s="25"/>
      <c r="BL37" s="25"/>
      <c r="BW37" s="25">
        <v>21</v>
      </c>
      <c r="BX37" s="5" t="s">
        <v>112</v>
      </c>
    </row>
    <row r="38" spans="1:76" x14ac:dyDescent="0.25">
      <c r="A38" s="28"/>
      <c r="C38" s="29" t="s">
        <v>110</v>
      </c>
      <c r="D38" s="29" t="s">
        <v>51</v>
      </c>
      <c r="F38" s="30">
        <v>12</v>
      </c>
      <c r="K38" s="31"/>
    </row>
    <row r="39" spans="1:76" x14ac:dyDescent="0.25">
      <c r="A39" s="2" t="s">
        <v>113</v>
      </c>
      <c r="B39" s="3" t="s">
        <v>114</v>
      </c>
      <c r="C39" s="79" t="s">
        <v>115</v>
      </c>
      <c r="D39" s="74"/>
      <c r="E39" s="3" t="s">
        <v>75</v>
      </c>
      <c r="F39" s="25">
        <v>4</v>
      </c>
      <c r="G39" s="25">
        <v>0</v>
      </c>
      <c r="H39" s="25">
        <f>F39*AO39</f>
        <v>0</v>
      </c>
      <c r="I39" s="25">
        <f>F39*AP39</f>
        <v>0</v>
      </c>
      <c r="J39" s="25">
        <f>F39*G39</f>
        <v>0</v>
      </c>
      <c r="K39" s="26" t="s">
        <v>58</v>
      </c>
      <c r="Z39" s="25">
        <f>IF(AQ39="5",BJ39,0)</f>
        <v>0</v>
      </c>
      <c r="AB39" s="25">
        <f>IF(AQ39="1",BH39,0)</f>
        <v>0</v>
      </c>
      <c r="AC39" s="25">
        <f>IF(AQ39="1",BI39,0)</f>
        <v>0</v>
      </c>
      <c r="AD39" s="25">
        <f>IF(AQ39="7",BH39,0)</f>
        <v>0</v>
      </c>
      <c r="AE39" s="25">
        <f>IF(AQ39="7",BI39,0)</f>
        <v>0</v>
      </c>
      <c r="AF39" s="25">
        <f>IF(AQ39="2",BH39,0)</f>
        <v>0</v>
      </c>
      <c r="AG39" s="25">
        <f>IF(AQ39="2",BI39,0)</f>
        <v>0</v>
      </c>
      <c r="AH39" s="25">
        <f>IF(AQ39="0",BJ39,0)</f>
        <v>0</v>
      </c>
      <c r="AI39" s="11" t="s">
        <v>51</v>
      </c>
      <c r="AJ39" s="25">
        <f>IF(AN39=0,J39,0)</f>
        <v>0</v>
      </c>
      <c r="AK39" s="25">
        <f>IF(AN39=12,J39,0)</f>
        <v>0</v>
      </c>
      <c r="AL39" s="25">
        <f>IF(AN39=21,J39,0)</f>
        <v>0</v>
      </c>
      <c r="AN39" s="25">
        <v>21</v>
      </c>
      <c r="AO39" s="25">
        <f>G39*0.686713585</f>
        <v>0</v>
      </c>
      <c r="AP39" s="25">
        <f>G39*(1-0.686713585)</f>
        <v>0</v>
      </c>
      <c r="AQ39" s="27" t="s">
        <v>65</v>
      </c>
      <c r="AV39" s="25">
        <f>AW39+AX39</f>
        <v>0</v>
      </c>
      <c r="AW39" s="25">
        <f>F39*AO39</f>
        <v>0</v>
      </c>
      <c r="AX39" s="25">
        <f>F39*AP39</f>
        <v>0</v>
      </c>
      <c r="AY39" s="27" t="s">
        <v>86</v>
      </c>
      <c r="AZ39" s="27" t="s">
        <v>70</v>
      </c>
      <c r="BA39" s="11" t="s">
        <v>61</v>
      </c>
      <c r="BC39" s="25">
        <f>AW39+AX39</f>
        <v>0</v>
      </c>
      <c r="BD39" s="25">
        <f>G39/(100-BE39)*100</f>
        <v>0</v>
      </c>
      <c r="BE39" s="25">
        <v>0</v>
      </c>
      <c r="BF39" s="25">
        <f>39</f>
        <v>39</v>
      </c>
      <c r="BH39" s="25">
        <f>F39*AO39</f>
        <v>0</v>
      </c>
      <c r="BI39" s="25">
        <f>F39*AP39</f>
        <v>0</v>
      </c>
      <c r="BJ39" s="25">
        <f>F39*G39</f>
        <v>0</v>
      </c>
      <c r="BK39" s="25"/>
      <c r="BL39" s="25"/>
      <c r="BW39" s="25">
        <v>21</v>
      </c>
      <c r="BX39" s="5" t="s">
        <v>115</v>
      </c>
    </row>
    <row r="40" spans="1:76" x14ac:dyDescent="0.25">
      <c r="A40" s="28"/>
      <c r="C40" s="29" t="s">
        <v>77</v>
      </c>
      <c r="D40" s="29" t="s">
        <v>97</v>
      </c>
      <c r="F40" s="30">
        <v>4</v>
      </c>
      <c r="K40" s="31"/>
    </row>
    <row r="41" spans="1:76" x14ac:dyDescent="0.25">
      <c r="A41" s="2" t="s">
        <v>109</v>
      </c>
      <c r="B41" s="3" t="s">
        <v>116</v>
      </c>
      <c r="C41" s="79" t="s">
        <v>117</v>
      </c>
      <c r="D41" s="74"/>
      <c r="E41" s="3" t="s">
        <v>75</v>
      </c>
      <c r="F41" s="25">
        <v>73.5</v>
      </c>
      <c r="G41" s="25">
        <v>0</v>
      </c>
      <c r="H41" s="25">
        <f>F41*AO41</f>
        <v>0</v>
      </c>
      <c r="I41" s="25">
        <f>F41*AP41</f>
        <v>0</v>
      </c>
      <c r="J41" s="25">
        <f>F41*G41</f>
        <v>0</v>
      </c>
      <c r="K41" s="26" t="s">
        <v>58</v>
      </c>
      <c r="Z41" s="25">
        <f>IF(AQ41="5",BJ41,0)</f>
        <v>0</v>
      </c>
      <c r="AB41" s="25">
        <f>IF(AQ41="1",BH41,0)</f>
        <v>0</v>
      </c>
      <c r="AC41" s="25">
        <f>IF(AQ41="1",BI41,0)</f>
        <v>0</v>
      </c>
      <c r="AD41" s="25">
        <f>IF(AQ41="7",BH41,0)</f>
        <v>0</v>
      </c>
      <c r="AE41" s="25">
        <f>IF(AQ41="7",BI41,0)</f>
        <v>0</v>
      </c>
      <c r="AF41" s="25">
        <f>IF(AQ41="2",BH41,0)</f>
        <v>0</v>
      </c>
      <c r="AG41" s="25">
        <f>IF(AQ41="2",BI41,0)</f>
        <v>0</v>
      </c>
      <c r="AH41" s="25">
        <f>IF(AQ41="0",BJ41,0)</f>
        <v>0</v>
      </c>
      <c r="AI41" s="11" t="s">
        <v>51</v>
      </c>
      <c r="AJ41" s="25">
        <f>IF(AN41=0,J41,0)</f>
        <v>0</v>
      </c>
      <c r="AK41" s="25">
        <f>IF(AN41=12,J41,0)</f>
        <v>0</v>
      </c>
      <c r="AL41" s="25">
        <f>IF(AN41=21,J41,0)</f>
        <v>0</v>
      </c>
      <c r="AN41" s="25">
        <v>21</v>
      </c>
      <c r="AO41" s="25">
        <f>G41*0.28349098</f>
        <v>0</v>
      </c>
      <c r="AP41" s="25">
        <f>G41*(1-0.28349098)</f>
        <v>0</v>
      </c>
      <c r="AQ41" s="27" t="s">
        <v>65</v>
      </c>
      <c r="AV41" s="25">
        <f>AW41+AX41</f>
        <v>0</v>
      </c>
      <c r="AW41" s="25">
        <f>F41*AO41</f>
        <v>0</v>
      </c>
      <c r="AX41" s="25">
        <f>F41*AP41</f>
        <v>0</v>
      </c>
      <c r="AY41" s="27" t="s">
        <v>86</v>
      </c>
      <c r="AZ41" s="27" t="s">
        <v>70</v>
      </c>
      <c r="BA41" s="11" t="s">
        <v>61</v>
      </c>
      <c r="BC41" s="25">
        <f>AW41+AX41</f>
        <v>0</v>
      </c>
      <c r="BD41" s="25">
        <f>G41/(100-BE41)*100</f>
        <v>0</v>
      </c>
      <c r="BE41" s="25">
        <v>0</v>
      </c>
      <c r="BF41" s="25">
        <f>41</f>
        <v>41</v>
      </c>
      <c r="BH41" s="25">
        <f>F41*AO41</f>
        <v>0</v>
      </c>
      <c r="BI41" s="25">
        <f>F41*AP41</f>
        <v>0</v>
      </c>
      <c r="BJ41" s="25">
        <f>F41*G41</f>
        <v>0</v>
      </c>
      <c r="BK41" s="25"/>
      <c r="BL41" s="25"/>
      <c r="BW41" s="25">
        <v>21</v>
      </c>
      <c r="BX41" s="5" t="s">
        <v>117</v>
      </c>
    </row>
    <row r="42" spans="1:76" x14ac:dyDescent="0.25">
      <c r="A42" s="28"/>
      <c r="C42" s="29" t="s">
        <v>118</v>
      </c>
      <c r="D42" s="29" t="s">
        <v>97</v>
      </c>
      <c r="F42" s="30">
        <v>73.5</v>
      </c>
      <c r="K42" s="31"/>
    </row>
    <row r="43" spans="1:76" x14ac:dyDescent="0.25">
      <c r="A43" s="2" t="s">
        <v>119</v>
      </c>
      <c r="B43" s="3" t="s">
        <v>120</v>
      </c>
      <c r="C43" s="79" t="s">
        <v>121</v>
      </c>
      <c r="D43" s="74"/>
      <c r="E43" s="3" t="s">
        <v>75</v>
      </c>
      <c r="F43" s="25">
        <v>8</v>
      </c>
      <c r="G43" s="25">
        <v>0</v>
      </c>
      <c r="H43" s="25">
        <f>F43*AO43</f>
        <v>0</v>
      </c>
      <c r="I43" s="25">
        <f>F43*AP43</f>
        <v>0</v>
      </c>
      <c r="J43" s="25">
        <f>F43*G43</f>
        <v>0</v>
      </c>
      <c r="K43" s="26" t="s">
        <v>58</v>
      </c>
      <c r="Z43" s="25">
        <f>IF(AQ43="5",BJ43,0)</f>
        <v>0</v>
      </c>
      <c r="AB43" s="25">
        <f>IF(AQ43="1",BH43,0)</f>
        <v>0</v>
      </c>
      <c r="AC43" s="25">
        <f>IF(AQ43="1",BI43,0)</f>
        <v>0</v>
      </c>
      <c r="AD43" s="25">
        <f>IF(AQ43="7",BH43,0)</f>
        <v>0</v>
      </c>
      <c r="AE43" s="25">
        <f>IF(AQ43="7",BI43,0)</f>
        <v>0</v>
      </c>
      <c r="AF43" s="25">
        <f>IF(AQ43="2",BH43,0)</f>
        <v>0</v>
      </c>
      <c r="AG43" s="25">
        <f>IF(AQ43="2",BI43,0)</f>
        <v>0</v>
      </c>
      <c r="AH43" s="25">
        <f>IF(AQ43="0",BJ43,0)</f>
        <v>0</v>
      </c>
      <c r="AI43" s="11" t="s">
        <v>51</v>
      </c>
      <c r="AJ43" s="25">
        <f>IF(AN43=0,J43,0)</f>
        <v>0</v>
      </c>
      <c r="AK43" s="25">
        <f>IF(AN43=12,J43,0)</f>
        <v>0</v>
      </c>
      <c r="AL43" s="25">
        <f>IF(AN43=21,J43,0)</f>
        <v>0</v>
      </c>
      <c r="AN43" s="25">
        <v>21</v>
      </c>
      <c r="AO43" s="25">
        <f>G43*0.362391931</f>
        <v>0</v>
      </c>
      <c r="AP43" s="25">
        <f>G43*(1-0.362391931)</f>
        <v>0</v>
      </c>
      <c r="AQ43" s="27" t="s">
        <v>65</v>
      </c>
      <c r="AV43" s="25">
        <f>AW43+AX43</f>
        <v>0</v>
      </c>
      <c r="AW43" s="25">
        <f>F43*AO43</f>
        <v>0</v>
      </c>
      <c r="AX43" s="25">
        <f>F43*AP43</f>
        <v>0</v>
      </c>
      <c r="AY43" s="27" t="s">
        <v>86</v>
      </c>
      <c r="AZ43" s="27" t="s">
        <v>70</v>
      </c>
      <c r="BA43" s="11" t="s">
        <v>61</v>
      </c>
      <c r="BC43" s="25">
        <f>AW43+AX43</f>
        <v>0</v>
      </c>
      <c r="BD43" s="25">
        <f>G43/(100-BE43)*100</f>
        <v>0</v>
      </c>
      <c r="BE43" s="25">
        <v>0</v>
      </c>
      <c r="BF43" s="25">
        <f>43</f>
        <v>43</v>
      </c>
      <c r="BH43" s="25">
        <f>F43*AO43</f>
        <v>0</v>
      </c>
      <c r="BI43" s="25">
        <f>F43*AP43</f>
        <v>0</v>
      </c>
      <c r="BJ43" s="25">
        <f>F43*G43</f>
        <v>0</v>
      </c>
      <c r="BK43" s="25"/>
      <c r="BL43" s="25"/>
      <c r="BW43" s="25">
        <v>21</v>
      </c>
      <c r="BX43" s="5" t="s">
        <v>121</v>
      </c>
    </row>
    <row r="44" spans="1:76" x14ac:dyDescent="0.25">
      <c r="A44" s="28"/>
      <c r="C44" s="29" t="s">
        <v>94</v>
      </c>
      <c r="D44" s="29" t="s">
        <v>97</v>
      </c>
      <c r="F44" s="30">
        <v>8</v>
      </c>
      <c r="K44" s="31"/>
    </row>
    <row r="45" spans="1:76" x14ac:dyDescent="0.25">
      <c r="A45" s="2" t="s">
        <v>80</v>
      </c>
      <c r="B45" s="3" t="s">
        <v>122</v>
      </c>
      <c r="C45" s="79" t="s">
        <v>123</v>
      </c>
      <c r="D45" s="74"/>
      <c r="E45" s="3" t="s">
        <v>75</v>
      </c>
      <c r="F45" s="25">
        <v>124</v>
      </c>
      <c r="G45" s="25">
        <v>0</v>
      </c>
      <c r="H45" s="25">
        <f>F45*AO45</f>
        <v>0</v>
      </c>
      <c r="I45" s="25">
        <f>F45*AP45</f>
        <v>0</v>
      </c>
      <c r="J45" s="25">
        <f>F45*G45</f>
        <v>0</v>
      </c>
      <c r="K45" s="26" t="s">
        <v>58</v>
      </c>
      <c r="Z45" s="25">
        <f>IF(AQ45="5",BJ45,0)</f>
        <v>0</v>
      </c>
      <c r="AB45" s="25">
        <f>IF(AQ45="1",BH45,0)</f>
        <v>0</v>
      </c>
      <c r="AC45" s="25">
        <f>IF(AQ45="1",BI45,0)</f>
        <v>0</v>
      </c>
      <c r="AD45" s="25">
        <f>IF(AQ45="7",BH45,0)</f>
        <v>0</v>
      </c>
      <c r="AE45" s="25">
        <f>IF(AQ45="7",BI45,0)</f>
        <v>0</v>
      </c>
      <c r="AF45" s="25">
        <f>IF(AQ45="2",BH45,0)</f>
        <v>0</v>
      </c>
      <c r="AG45" s="25">
        <f>IF(AQ45="2",BI45,0)</f>
        <v>0</v>
      </c>
      <c r="AH45" s="25">
        <f>IF(AQ45="0",BJ45,0)</f>
        <v>0</v>
      </c>
      <c r="AI45" s="11" t="s">
        <v>51</v>
      </c>
      <c r="AJ45" s="25">
        <f>IF(AN45=0,J45,0)</f>
        <v>0</v>
      </c>
      <c r="AK45" s="25">
        <f>IF(AN45=12,J45,0)</f>
        <v>0</v>
      </c>
      <c r="AL45" s="25">
        <f>IF(AN45=21,J45,0)</f>
        <v>0</v>
      </c>
      <c r="AN45" s="25">
        <v>21</v>
      </c>
      <c r="AO45" s="25">
        <f>G45*0.385983745</f>
        <v>0</v>
      </c>
      <c r="AP45" s="25">
        <f>G45*(1-0.385983745)</f>
        <v>0</v>
      </c>
      <c r="AQ45" s="27" t="s">
        <v>65</v>
      </c>
      <c r="AV45" s="25">
        <f>AW45+AX45</f>
        <v>0</v>
      </c>
      <c r="AW45" s="25">
        <f>F45*AO45</f>
        <v>0</v>
      </c>
      <c r="AX45" s="25">
        <f>F45*AP45</f>
        <v>0</v>
      </c>
      <c r="AY45" s="27" t="s">
        <v>86</v>
      </c>
      <c r="AZ45" s="27" t="s">
        <v>70</v>
      </c>
      <c r="BA45" s="11" t="s">
        <v>61</v>
      </c>
      <c r="BC45" s="25">
        <f>AW45+AX45</f>
        <v>0</v>
      </c>
      <c r="BD45" s="25">
        <f>G45/(100-BE45)*100</f>
        <v>0</v>
      </c>
      <c r="BE45" s="25">
        <v>0</v>
      </c>
      <c r="BF45" s="25">
        <f>45</f>
        <v>45</v>
      </c>
      <c r="BH45" s="25">
        <f>F45*AO45</f>
        <v>0</v>
      </c>
      <c r="BI45" s="25">
        <f>F45*AP45</f>
        <v>0</v>
      </c>
      <c r="BJ45" s="25">
        <f>F45*G45</f>
        <v>0</v>
      </c>
      <c r="BK45" s="25"/>
      <c r="BL45" s="25"/>
      <c r="BW45" s="25">
        <v>21</v>
      </c>
      <c r="BX45" s="5" t="s">
        <v>123</v>
      </c>
    </row>
    <row r="46" spans="1:76" x14ac:dyDescent="0.25">
      <c r="A46" s="28"/>
      <c r="C46" s="29" t="s">
        <v>124</v>
      </c>
      <c r="D46" s="29" t="s">
        <v>97</v>
      </c>
      <c r="F46" s="30">
        <v>124</v>
      </c>
      <c r="K46" s="31"/>
    </row>
    <row r="47" spans="1:76" x14ac:dyDescent="0.25">
      <c r="A47" s="2" t="s">
        <v>125</v>
      </c>
      <c r="B47" s="3" t="s">
        <v>126</v>
      </c>
      <c r="C47" s="79" t="s">
        <v>127</v>
      </c>
      <c r="D47" s="74"/>
      <c r="E47" s="3" t="s">
        <v>75</v>
      </c>
      <c r="F47" s="25">
        <v>2</v>
      </c>
      <c r="G47" s="25">
        <v>0</v>
      </c>
      <c r="H47" s="25">
        <f>F47*AO47</f>
        <v>0</v>
      </c>
      <c r="I47" s="25">
        <f>F47*AP47</f>
        <v>0</v>
      </c>
      <c r="J47" s="25">
        <f>F47*G47</f>
        <v>0</v>
      </c>
      <c r="K47" s="26" t="s">
        <v>58</v>
      </c>
      <c r="Z47" s="25">
        <f>IF(AQ47="5",BJ47,0)</f>
        <v>0</v>
      </c>
      <c r="AB47" s="25">
        <f>IF(AQ47="1",BH47,0)</f>
        <v>0</v>
      </c>
      <c r="AC47" s="25">
        <f>IF(AQ47="1",BI47,0)</f>
        <v>0</v>
      </c>
      <c r="AD47" s="25">
        <f>IF(AQ47="7",BH47,0)</f>
        <v>0</v>
      </c>
      <c r="AE47" s="25">
        <f>IF(AQ47="7",BI47,0)</f>
        <v>0</v>
      </c>
      <c r="AF47" s="25">
        <f>IF(AQ47="2",BH47,0)</f>
        <v>0</v>
      </c>
      <c r="AG47" s="25">
        <f>IF(AQ47="2",BI47,0)</f>
        <v>0</v>
      </c>
      <c r="AH47" s="25">
        <f>IF(AQ47="0",BJ47,0)</f>
        <v>0</v>
      </c>
      <c r="AI47" s="11" t="s">
        <v>51</v>
      </c>
      <c r="AJ47" s="25">
        <f>IF(AN47=0,J47,0)</f>
        <v>0</v>
      </c>
      <c r="AK47" s="25">
        <f>IF(AN47=12,J47,0)</f>
        <v>0</v>
      </c>
      <c r="AL47" s="25">
        <f>IF(AN47=21,J47,0)</f>
        <v>0</v>
      </c>
      <c r="AN47" s="25">
        <v>21</v>
      </c>
      <c r="AO47" s="25">
        <f>G47*0.70795107</f>
        <v>0</v>
      </c>
      <c r="AP47" s="25">
        <f>G47*(1-0.70795107)</f>
        <v>0</v>
      </c>
      <c r="AQ47" s="27" t="s">
        <v>65</v>
      </c>
      <c r="AV47" s="25">
        <f>AW47+AX47</f>
        <v>0</v>
      </c>
      <c r="AW47" s="25">
        <f>F47*AO47</f>
        <v>0</v>
      </c>
      <c r="AX47" s="25">
        <f>F47*AP47</f>
        <v>0</v>
      </c>
      <c r="AY47" s="27" t="s">
        <v>86</v>
      </c>
      <c r="AZ47" s="27" t="s">
        <v>70</v>
      </c>
      <c r="BA47" s="11" t="s">
        <v>61</v>
      </c>
      <c r="BC47" s="25">
        <f>AW47+AX47</f>
        <v>0</v>
      </c>
      <c r="BD47" s="25">
        <f>G47/(100-BE47)*100</f>
        <v>0</v>
      </c>
      <c r="BE47" s="25">
        <v>0</v>
      </c>
      <c r="BF47" s="25">
        <f>47</f>
        <v>47</v>
      </c>
      <c r="BH47" s="25">
        <f>F47*AO47</f>
        <v>0</v>
      </c>
      <c r="BI47" s="25">
        <f>F47*AP47</f>
        <v>0</v>
      </c>
      <c r="BJ47" s="25">
        <f>F47*G47</f>
        <v>0</v>
      </c>
      <c r="BK47" s="25"/>
      <c r="BL47" s="25"/>
      <c r="BW47" s="25">
        <v>21</v>
      </c>
      <c r="BX47" s="5" t="s">
        <v>127</v>
      </c>
    </row>
    <row r="48" spans="1:76" x14ac:dyDescent="0.25">
      <c r="A48" s="28"/>
      <c r="C48" s="29" t="s">
        <v>65</v>
      </c>
      <c r="D48" s="29" t="s">
        <v>97</v>
      </c>
      <c r="F48" s="30">
        <v>2</v>
      </c>
      <c r="K48" s="31"/>
    </row>
    <row r="49" spans="1:76" x14ac:dyDescent="0.25">
      <c r="A49" s="2" t="s">
        <v>128</v>
      </c>
      <c r="B49" s="3" t="s">
        <v>129</v>
      </c>
      <c r="C49" s="79" t="s">
        <v>130</v>
      </c>
      <c r="D49" s="74"/>
      <c r="E49" s="3" t="s">
        <v>68</v>
      </c>
      <c r="F49" s="25">
        <v>4</v>
      </c>
      <c r="G49" s="25">
        <v>0</v>
      </c>
      <c r="H49" s="25">
        <f>F49*AO49</f>
        <v>0</v>
      </c>
      <c r="I49" s="25">
        <f>F49*AP49</f>
        <v>0</v>
      </c>
      <c r="J49" s="25">
        <f>F49*G49</f>
        <v>0</v>
      </c>
      <c r="K49" s="26" t="s">
        <v>58</v>
      </c>
      <c r="Z49" s="25">
        <f>IF(AQ49="5",BJ49,0)</f>
        <v>0</v>
      </c>
      <c r="AB49" s="25">
        <f>IF(AQ49="1",BH49,0)</f>
        <v>0</v>
      </c>
      <c r="AC49" s="25">
        <f>IF(AQ49="1",BI49,0)</f>
        <v>0</v>
      </c>
      <c r="AD49" s="25">
        <f>IF(AQ49="7",BH49,0)</f>
        <v>0</v>
      </c>
      <c r="AE49" s="25">
        <f>IF(AQ49="7",BI49,0)</f>
        <v>0</v>
      </c>
      <c r="AF49" s="25">
        <f>IF(AQ49="2",BH49,0)</f>
        <v>0</v>
      </c>
      <c r="AG49" s="25">
        <f>IF(AQ49="2",BI49,0)</f>
        <v>0</v>
      </c>
      <c r="AH49" s="25">
        <f>IF(AQ49="0",BJ49,0)</f>
        <v>0</v>
      </c>
      <c r="AI49" s="11" t="s">
        <v>51</v>
      </c>
      <c r="AJ49" s="25">
        <f>IF(AN49=0,J49,0)</f>
        <v>0</v>
      </c>
      <c r="AK49" s="25">
        <f>IF(AN49=12,J49,0)</f>
        <v>0</v>
      </c>
      <c r="AL49" s="25">
        <f>IF(AN49=21,J49,0)</f>
        <v>0</v>
      </c>
      <c r="AN49" s="25">
        <v>21</v>
      </c>
      <c r="AO49" s="25">
        <f>G49*0</f>
        <v>0</v>
      </c>
      <c r="AP49" s="25">
        <f>G49*(1-0)</f>
        <v>0</v>
      </c>
      <c r="AQ49" s="27" t="s">
        <v>65</v>
      </c>
      <c r="AV49" s="25">
        <f>AW49+AX49</f>
        <v>0</v>
      </c>
      <c r="AW49" s="25">
        <f>F49*AO49</f>
        <v>0</v>
      </c>
      <c r="AX49" s="25">
        <f>F49*AP49</f>
        <v>0</v>
      </c>
      <c r="AY49" s="27" t="s">
        <v>86</v>
      </c>
      <c r="AZ49" s="27" t="s">
        <v>70</v>
      </c>
      <c r="BA49" s="11" t="s">
        <v>61</v>
      </c>
      <c r="BC49" s="25">
        <f>AW49+AX49</f>
        <v>0</v>
      </c>
      <c r="BD49" s="25">
        <f>G49/(100-BE49)*100</f>
        <v>0</v>
      </c>
      <c r="BE49" s="25">
        <v>0</v>
      </c>
      <c r="BF49" s="25">
        <f>49</f>
        <v>49</v>
      </c>
      <c r="BH49" s="25">
        <f>F49*AO49</f>
        <v>0</v>
      </c>
      <c r="BI49" s="25">
        <f>F49*AP49</f>
        <v>0</v>
      </c>
      <c r="BJ49" s="25">
        <f>F49*G49</f>
        <v>0</v>
      </c>
      <c r="BK49" s="25"/>
      <c r="BL49" s="25"/>
      <c r="BW49" s="25">
        <v>21</v>
      </c>
      <c r="BX49" s="5" t="s">
        <v>130</v>
      </c>
    </row>
    <row r="50" spans="1:76" x14ac:dyDescent="0.25">
      <c r="A50" s="28"/>
      <c r="C50" s="29" t="s">
        <v>77</v>
      </c>
      <c r="D50" s="29" t="s">
        <v>51</v>
      </c>
      <c r="F50" s="30">
        <v>4</v>
      </c>
      <c r="K50" s="31"/>
    </row>
    <row r="51" spans="1:76" x14ac:dyDescent="0.25">
      <c r="A51" s="2" t="s">
        <v>131</v>
      </c>
      <c r="B51" s="3" t="s">
        <v>132</v>
      </c>
      <c r="C51" s="79" t="s">
        <v>133</v>
      </c>
      <c r="D51" s="74"/>
      <c r="E51" s="3" t="s">
        <v>68</v>
      </c>
      <c r="F51" s="25">
        <v>80</v>
      </c>
      <c r="G51" s="25">
        <v>0</v>
      </c>
      <c r="H51" s="25">
        <f>F51*AO51</f>
        <v>0</v>
      </c>
      <c r="I51" s="25">
        <f>F51*AP51</f>
        <v>0</v>
      </c>
      <c r="J51" s="25">
        <f>F51*G51</f>
        <v>0</v>
      </c>
      <c r="K51" s="26" t="s">
        <v>58</v>
      </c>
      <c r="Z51" s="25">
        <f>IF(AQ51="5",BJ51,0)</f>
        <v>0</v>
      </c>
      <c r="AB51" s="25">
        <f>IF(AQ51="1",BH51,0)</f>
        <v>0</v>
      </c>
      <c r="AC51" s="25">
        <f>IF(AQ51="1",BI51,0)</f>
        <v>0</v>
      </c>
      <c r="AD51" s="25">
        <f>IF(AQ51="7",BH51,0)</f>
        <v>0</v>
      </c>
      <c r="AE51" s="25">
        <f>IF(AQ51="7",BI51,0)</f>
        <v>0</v>
      </c>
      <c r="AF51" s="25">
        <f>IF(AQ51="2",BH51,0)</f>
        <v>0</v>
      </c>
      <c r="AG51" s="25">
        <f>IF(AQ51="2",BI51,0)</f>
        <v>0</v>
      </c>
      <c r="AH51" s="25">
        <f>IF(AQ51="0",BJ51,0)</f>
        <v>0</v>
      </c>
      <c r="AI51" s="11" t="s">
        <v>51</v>
      </c>
      <c r="AJ51" s="25">
        <f>IF(AN51=0,J51,0)</f>
        <v>0</v>
      </c>
      <c r="AK51" s="25">
        <f>IF(AN51=12,J51,0)</f>
        <v>0</v>
      </c>
      <c r="AL51" s="25">
        <f>IF(AN51=21,J51,0)</f>
        <v>0</v>
      </c>
      <c r="AN51" s="25">
        <v>21</v>
      </c>
      <c r="AO51" s="25">
        <f>G51*0</f>
        <v>0</v>
      </c>
      <c r="AP51" s="25">
        <f>G51*(1-0)</f>
        <v>0</v>
      </c>
      <c r="AQ51" s="27" t="s">
        <v>65</v>
      </c>
      <c r="AV51" s="25">
        <f>AW51+AX51</f>
        <v>0</v>
      </c>
      <c r="AW51" s="25">
        <f>F51*AO51</f>
        <v>0</v>
      </c>
      <c r="AX51" s="25">
        <f>F51*AP51</f>
        <v>0</v>
      </c>
      <c r="AY51" s="27" t="s">
        <v>86</v>
      </c>
      <c r="AZ51" s="27" t="s">
        <v>70</v>
      </c>
      <c r="BA51" s="11" t="s">
        <v>61</v>
      </c>
      <c r="BC51" s="25">
        <f>AW51+AX51</f>
        <v>0</v>
      </c>
      <c r="BD51" s="25">
        <f>G51/(100-BE51)*100</f>
        <v>0</v>
      </c>
      <c r="BE51" s="25">
        <v>0</v>
      </c>
      <c r="BF51" s="25">
        <f>51</f>
        <v>51</v>
      </c>
      <c r="BH51" s="25">
        <f>F51*AO51</f>
        <v>0</v>
      </c>
      <c r="BI51" s="25">
        <f>F51*AP51</f>
        <v>0</v>
      </c>
      <c r="BJ51" s="25">
        <f>F51*G51</f>
        <v>0</v>
      </c>
      <c r="BK51" s="25"/>
      <c r="BL51" s="25"/>
      <c r="BW51" s="25">
        <v>21</v>
      </c>
      <c r="BX51" s="5" t="s">
        <v>133</v>
      </c>
    </row>
    <row r="52" spans="1:76" x14ac:dyDescent="0.25">
      <c r="A52" s="28"/>
      <c r="C52" s="29" t="s">
        <v>134</v>
      </c>
      <c r="D52" s="29" t="s">
        <v>51</v>
      </c>
      <c r="F52" s="30">
        <v>80</v>
      </c>
      <c r="K52" s="31"/>
    </row>
    <row r="53" spans="1:76" x14ac:dyDescent="0.25">
      <c r="A53" s="2" t="s">
        <v>135</v>
      </c>
      <c r="B53" s="3" t="s">
        <v>136</v>
      </c>
      <c r="C53" s="79" t="s">
        <v>137</v>
      </c>
      <c r="D53" s="74"/>
      <c r="E53" s="3" t="s">
        <v>68</v>
      </c>
      <c r="F53" s="25">
        <v>1</v>
      </c>
      <c r="G53" s="25">
        <v>0</v>
      </c>
      <c r="H53" s="25">
        <f>F53*AO53</f>
        <v>0</v>
      </c>
      <c r="I53" s="25">
        <f>F53*AP53</f>
        <v>0</v>
      </c>
      <c r="J53" s="25">
        <f>F53*G53</f>
        <v>0</v>
      </c>
      <c r="K53" s="26" t="s">
        <v>58</v>
      </c>
      <c r="Z53" s="25">
        <f>IF(AQ53="5",BJ53,0)</f>
        <v>0</v>
      </c>
      <c r="AB53" s="25">
        <f>IF(AQ53="1",BH53,0)</f>
        <v>0</v>
      </c>
      <c r="AC53" s="25">
        <f>IF(AQ53="1",BI53,0)</f>
        <v>0</v>
      </c>
      <c r="AD53" s="25">
        <f>IF(AQ53="7",BH53,0)</f>
        <v>0</v>
      </c>
      <c r="AE53" s="25">
        <f>IF(AQ53="7",BI53,0)</f>
        <v>0</v>
      </c>
      <c r="AF53" s="25">
        <f>IF(AQ53="2",BH53,0)</f>
        <v>0</v>
      </c>
      <c r="AG53" s="25">
        <f>IF(AQ53="2",BI53,0)</f>
        <v>0</v>
      </c>
      <c r="AH53" s="25">
        <f>IF(AQ53="0",BJ53,0)</f>
        <v>0</v>
      </c>
      <c r="AI53" s="11" t="s">
        <v>51</v>
      </c>
      <c r="AJ53" s="25">
        <f>IF(AN53=0,J53,0)</f>
        <v>0</v>
      </c>
      <c r="AK53" s="25">
        <f>IF(AN53=12,J53,0)</f>
        <v>0</v>
      </c>
      <c r="AL53" s="25">
        <f>IF(AN53=21,J53,0)</f>
        <v>0</v>
      </c>
      <c r="AN53" s="25">
        <v>21</v>
      </c>
      <c r="AO53" s="25">
        <f>G53*0</f>
        <v>0</v>
      </c>
      <c r="AP53" s="25">
        <f>G53*(1-0)</f>
        <v>0</v>
      </c>
      <c r="AQ53" s="27" t="s">
        <v>65</v>
      </c>
      <c r="AV53" s="25">
        <f>AW53+AX53</f>
        <v>0</v>
      </c>
      <c r="AW53" s="25">
        <f>F53*AO53</f>
        <v>0</v>
      </c>
      <c r="AX53" s="25">
        <f>F53*AP53</f>
        <v>0</v>
      </c>
      <c r="AY53" s="27" t="s">
        <v>86</v>
      </c>
      <c r="AZ53" s="27" t="s">
        <v>70</v>
      </c>
      <c r="BA53" s="11" t="s">
        <v>61</v>
      </c>
      <c r="BC53" s="25">
        <f>AW53+AX53</f>
        <v>0</v>
      </c>
      <c r="BD53" s="25">
        <f>G53/(100-BE53)*100</f>
        <v>0</v>
      </c>
      <c r="BE53" s="25">
        <v>0</v>
      </c>
      <c r="BF53" s="25">
        <f>53</f>
        <v>53</v>
      </c>
      <c r="BH53" s="25">
        <f>F53*AO53</f>
        <v>0</v>
      </c>
      <c r="BI53" s="25">
        <f>F53*AP53</f>
        <v>0</v>
      </c>
      <c r="BJ53" s="25">
        <f>F53*G53</f>
        <v>0</v>
      </c>
      <c r="BK53" s="25"/>
      <c r="BL53" s="25"/>
      <c r="BW53" s="25">
        <v>21</v>
      </c>
      <c r="BX53" s="5" t="s">
        <v>137</v>
      </c>
    </row>
    <row r="54" spans="1:76" x14ac:dyDescent="0.25">
      <c r="A54" s="28"/>
      <c r="C54" s="29" t="s">
        <v>54</v>
      </c>
      <c r="D54" s="29" t="s">
        <v>138</v>
      </c>
      <c r="F54" s="30">
        <v>1</v>
      </c>
      <c r="K54" s="31"/>
    </row>
    <row r="55" spans="1:76" x14ac:dyDescent="0.25">
      <c r="A55" s="2" t="s">
        <v>139</v>
      </c>
      <c r="B55" s="3" t="s">
        <v>140</v>
      </c>
      <c r="C55" s="79" t="s">
        <v>141</v>
      </c>
      <c r="D55" s="74"/>
      <c r="E55" s="3" t="s">
        <v>68</v>
      </c>
      <c r="F55" s="25">
        <v>3</v>
      </c>
      <c r="G55" s="25">
        <v>0</v>
      </c>
      <c r="H55" s="25">
        <f>F55*AO55</f>
        <v>0</v>
      </c>
      <c r="I55" s="25">
        <f>F55*AP55</f>
        <v>0</v>
      </c>
      <c r="J55" s="25">
        <f>F55*G55</f>
        <v>0</v>
      </c>
      <c r="K55" s="26" t="s">
        <v>58</v>
      </c>
      <c r="Z55" s="25">
        <f>IF(AQ55="5",BJ55,0)</f>
        <v>0</v>
      </c>
      <c r="AB55" s="25">
        <f>IF(AQ55="1",BH55,0)</f>
        <v>0</v>
      </c>
      <c r="AC55" s="25">
        <f>IF(AQ55="1",BI55,0)</f>
        <v>0</v>
      </c>
      <c r="AD55" s="25">
        <f>IF(AQ55="7",BH55,0)</f>
        <v>0</v>
      </c>
      <c r="AE55" s="25">
        <f>IF(AQ55="7",BI55,0)</f>
        <v>0</v>
      </c>
      <c r="AF55" s="25">
        <f>IF(AQ55="2",BH55,0)</f>
        <v>0</v>
      </c>
      <c r="AG55" s="25">
        <f>IF(AQ55="2",BI55,0)</f>
        <v>0</v>
      </c>
      <c r="AH55" s="25">
        <f>IF(AQ55="0",BJ55,0)</f>
        <v>0</v>
      </c>
      <c r="AI55" s="11" t="s">
        <v>51</v>
      </c>
      <c r="AJ55" s="25">
        <f>IF(AN55=0,J55,0)</f>
        <v>0</v>
      </c>
      <c r="AK55" s="25">
        <f>IF(AN55=12,J55,0)</f>
        <v>0</v>
      </c>
      <c r="AL55" s="25">
        <f>IF(AN55=21,J55,0)</f>
        <v>0</v>
      </c>
      <c r="AN55" s="25">
        <v>21</v>
      </c>
      <c r="AO55" s="25">
        <f>G55*0.42872549</f>
        <v>0</v>
      </c>
      <c r="AP55" s="25">
        <f>G55*(1-0.42872549)</f>
        <v>0</v>
      </c>
      <c r="AQ55" s="27" t="s">
        <v>65</v>
      </c>
      <c r="AV55" s="25">
        <f>AW55+AX55</f>
        <v>0</v>
      </c>
      <c r="AW55" s="25">
        <f>F55*AO55</f>
        <v>0</v>
      </c>
      <c r="AX55" s="25">
        <f>F55*AP55</f>
        <v>0</v>
      </c>
      <c r="AY55" s="27" t="s">
        <v>86</v>
      </c>
      <c r="AZ55" s="27" t="s">
        <v>70</v>
      </c>
      <c r="BA55" s="11" t="s">
        <v>61</v>
      </c>
      <c r="BC55" s="25">
        <f>AW55+AX55</f>
        <v>0</v>
      </c>
      <c r="BD55" s="25">
        <f>G55/(100-BE55)*100</f>
        <v>0</v>
      </c>
      <c r="BE55" s="25">
        <v>0</v>
      </c>
      <c r="BF55" s="25">
        <f>55</f>
        <v>55</v>
      </c>
      <c r="BH55" s="25">
        <f>F55*AO55</f>
        <v>0</v>
      </c>
      <c r="BI55" s="25">
        <f>F55*AP55</f>
        <v>0</v>
      </c>
      <c r="BJ55" s="25">
        <f>F55*G55</f>
        <v>0</v>
      </c>
      <c r="BK55" s="25"/>
      <c r="BL55" s="25"/>
      <c r="BW55" s="25">
        <v>21</v>
      </c>
      <c r="BX55" s="5" t="s">
        <v>141</v>
      </c>
    </row>
    <row r="56" spans="1:76" x14ac:dyDescent="0.25">
      <c r="A56" s="28"/>
      <c r="C56" s="29" t="s">
        <v>72</v>
      </c>
      <c r="D56" s="29" t="s">
        <v>97</v>
      </c>
      <c r="F56" s="30">
        <v>3</v>
      </c>
      <c r="K56" s="31"/>
    </row>
    <row r="57" spans="1:76" x14ac:dyDescent="0.25">
      <c r="A57" s="2" t="s">
        <v>62</v>
      </c>
      <c r="B57" s="3" t="s">
        <v>142</v>
      </c>
      <c r="C57" s="79" t="s">
        <v>143</v>
      </c>
      <c r="D57" s="74"/>
      <c r="E57" s="3" t="s">
        <v>68</v>
      </c>
      <c r="F57" s="25">
        <v>1</v>
      </c>
      <c r="G57" s="25">
        <v>0</v>
      </c>
      <c r="H57" s="25">
        <f>F57*AO57</f>
        <v>0</v>
      </c>
      <c r="I57" s="25">
        <f>F57*AP57</f>
        <v>0</v>
      </c>
      <c r="J57" s="25">
        <f>F57*G57</f>
        <v>0</v>
      </c>
      <c r="K57" s="26" t="s">
        <v>58</v>
      </c>
      <c r="Z57" s="25">
        <f>IF(AQ57="5",BJ57,0)</f>
        <v>0</v>
      </c>
      <c r="AB57" s="25">
        <f>IF(AQ57="1",BH57,0)</f>
        <v>0</v>
      </c>
      <c r="AC57" s="25">
        <f>IF(AQ57="1",BI57,0)</f>
        <v>0</v>
      </c>
      <c r="AD57" s="25">
        <f>IF(AQ57="7",BH57,0)</f>
        <v>0</v>
      </c>
      <c r="AE57" s="25">
        <f>IF(AQ57="7",BI57,0)</f>
        <v>0</v>
      </c>
      <c r="AF57" s="25">
        <f>IF(AQ57="2",BH57,0)</f>
        <v>0</v>
      </c>
      <c r="AG57" s="25">
        <f>IF(AQ57="2",BI57,0)</f>
        <v>0</v>
      </c>
      <c r="AH57" s="25">
        <f>IF(AQ57="0",BJ57,0)</f>
        <v>0</v>
      </c>
      <c r="AI57" s="11" t="s">
        <v>51</v>
      </c>
      <c r="AJ57" s="25">
        <f>IF(AN57=0,J57,0)</f>
        <v>0</v>
      </c>
      <c r="AK57" s="25">
        <f>IF(AN57=12,J57,0)</f>
        <v>0</v>
      </c>
      <c r="AL57" s="25">
        <f>IF(AN57=21,J57,0)</f>
        <v>0</v>
      </c>
      <c r="AN57" s="25">
        <v>21</v>
      </c>
      <c r="AO57" s="25">
        <f>G57*0.472288136</f>
        <v>0</v>
      </c>
      <c r="AP57" s="25">
        <f>G57*(1-0.472288136)</f>
        <v>0</v>
      </c>
      <c r="AQ57" s="27" t="s">
        <v>65</v>
      </c>
      <c r="AV57" s="25">
        <f>AW57+AX57</f>
        <v>0</v>
      </c>
      <c r="AW57" s="25">
        <f>F57*AO57</f>
        <v>0</v>
      </c>
      <c r="AX57" s="25">
        <f>F57*AP57</f>
        <v>0</v>
      </c>
      <c r="AY57" s="27" t="s">
        <v>86</v>
      </c>
      <c r="AZ57" s="27" t="s">
        <v>70</v>
      </c>
      <c r="BA57" s="11" t="s">
        <v>61</v>
      </c>
      <c r="BC57" s="25">
        <f>AW57+AX57</f>
        <v>0</v>
      </c>
      <c r="BD57" s="25">
        <f>G57/(100-BE57)*100</f>
        <v>0</v>
      </c>
      <c r="BE57" s="25">
        <v>0</v>
      </c>
      <c r="BF57" s="25">
        <f>57</f>
        <v>57</v>
      </c>
      <c r="BH57" s="25">
        <f>F57*AO57</f>
        <v>0</v>
      </c>
      <c r="BI57" s="25">
        <f>F57*AP57</f>
        <v>0</v>
      </c>
      <c r="BJ57" s="25">
        <f>F57*G57</f>
        <v>0</v>
      </c>
      <c r="BK57" s="25"/>
      <c r="BL57" s="25"/>
      <c r="BW57" s="25">
        <v>21</v>
      </c>
      <c r="BX57" s="5" t="s">
        <v>143</v>
      </c>
    </row>
    <row r="58" spans="1:76" x14ac:dyDescent="0.25">
      <c r="A58" s="28"/>
      <c r="C58" s="29" t="s">
        <v>54</v>
      </c>
      <c r="D58" s="29" t="s">
        <v>97</v>
      </c>
      <c r="F58" s="30">
        <v>1</v>
      </c>
      <c r="K58" s="31"/>
    </row>
    <row r="59" spans="1:76" x14ac:dyDescent="0.25">
      <c r="A59" s="2" t="s">
        <v>93</v>
      </c>
      <c r="B59" s="3" t="s">
        <v>144</v>
      </c>
      <c r="C59" s="79" t="s">
        <v>145</v>
      </c>
      <c r="D59" s="74"/>
      <c r="E59" s="3" t="s">
        <v>68</v>
      </c>
      <c r="F59" s="25">
        <v>1</v>
      </c>
      <c r="G59" s="25">
        <v>0</v>
      </c>
      <c r="H59" s="25">
        <f>F59*AO59</f>
        <v>0</v>
      </c>
      <c r="I59" s="25">
        <f>F59*AP59</f>
        <v>0</v>
      </c>
      <c r="J59" s="25">
        <f>F59*G59</f>
        <v>0</v>
      </c>
      <c r="K59" s="26" t="s">
        <v>58</v>
      </c>
      <c r="Z59" s="25">
        <f>IF(AQ59="5",BJ59,0)</f>
        <v>0</v>
      </c>
      <c r="AB59" s="25">
        <f>IF(AQ59="1",BH59,0)</f>
        <v>0</v>
      </c>
      <c r="AC59" s="25">
        <f>IF(AQ59="1",BI59,0)</f>
        <v>0</v>
      </c>
      <c r="AD59" s="25">
        <f>IF(AQ59="7",BH59,0)</f>
        <v>0</v>
      </c>
      <c r="AE59" s="25">
        <f>IF(AQ59="7",BI59,0)</f>
        <v>0</v>
      </c>
      <c r="AF59" s="25">
        <f>IF(AQ59="2",BH59,0)</f>
        <v>0</v>
      </c>
      <c r="AG59" s="25">
        <f>IF(AQ59="2",BI59,0)</f>
        <v>0</v>
      </c>
      <c r="AH59" s="25">
        <f>IF(AQ59="0",BJ59,0)</f>
        <v>0</v>
      </c>
      <c r="AI59" s="11" t="s">
        <v>51</v>
      </c>
      <c r="AJ59" s="25">
        <f>IF(AN59=0,J59,0)</f>
        <v>0</v>
      </c>
      <c r="AK59" s="25">
        <f>IF(AN59=12,J59,0)</f>
        <v>0</v>
      </c>
      <c r="AL59" s="25">
        <f>IF(AN59=21,J59,0)</f>
        <v>0</v>
      </c>
      <c r="AN59" s="25">
        <v>21</v>
      </c>
      <c r="AO59" s="25">
        <f>G59*0.490639965</f>
        <v>0</v>
      </c>
      <c r="AP59" s="25">
        <f>G59*(1-0.490639965)</f>
        <v>0</v>
      </c>
      <c r="AQ59" s="27" t="s">
        <v>65</v>
      </c>
      <c r="AV59" s="25">
        <f>AW59+AX59</f>
        <v>0</v>
      </c>
      <c r="AW59" s="25">
        <f>F59*AO59</f>
        <v>0</v>
      </c>
      <c r="AX59" s="25">
        <f>F59*AP59</f>
        <v>0</v>
      </c>
      <c r="AY59" s="27" t="s">
        <v>86</v>
      </c>
      <c r="AZ59" s="27" t="s">
        <v>70</v>
      </c>
      <c r="BA59" s="11" t="s">
        <v>61</v>
      </c>
      <c r="BC59" s="25">
        <f>AW59+AX59</f>
        <v>0</v>
      </c>
      <c r="BD59" s="25">
        <f>G59/(100-BE59)*100</f>
        <v>0</v>
      </c>
      <c r="BE59" s="25">
        <v>0</v>
      </c>
      <c r="BF59" s="25">
        <f>59</f>
        <v>59</v>
      </c>
      <c r="BH59" s="25">
        <f>F59*AO59</f>
        <v>0</v>
      </c>
      <c r="BI59" s="25">
        <f>F59*AP59</f>
        <v>0</v>
      </c>
      <c r="BJ59" s="25">
        <f>F59*G59</f>
        <v>0</v>
      </c>
      <c r="BK59" s="25"/>
      <c r="BL59" s="25"/>
      <c r="BW59" s="25">
        <v>21</v>
      </c>
      <c r="BX59" s="5" t="s">
        <v>145</v>
      </c>
    </row>
    <row r="60" spans="1:76" x14ac:dyDescent="0.25">
      <c r="A60" s="28"/>
      <c r="C60" s="29" t="s">
        <v>54</v>
      </c>
      <c r="D60" s="29" t="s">
        <v>97</v>
      </c>
      <c r="F60" s="30">
        <v>1</v>
      </c>
      <c r="K60" s="31"/>
    </row>
    <row r="61" spans="1:76" x14ac:dyDescent="0.25">
      <c r="A61" s="2" t="s">
        <v>146</v>
      </c>
      <c r="B61" s="3" t="s">
        <v>147</v>
      </c>
      <c r="C61" s="79" t="s">
        <v>148</v>
      </c>
      <c r="D61" s="74"/>
      <c r="E61" s="3" t="s">
        <v>68</v>
      </c>
      <c r="F61" s="25">
        <v>5</v>
      </c>
      <c r="G61" s="25">
        <v>0</v>
      </c>
      <c r="H61" s="25">
        <f>F61*AO61</f>
        <v>0</v>
      </c>
      <c r="I61" s="25">
        <f>F61*AP61</f>
        <v>0</v>
      </c>
      <c r="J61" s="25">
        <f>F61*G61</f>
        <v>0</v>
      </c>
      <c r="K61" s="26" t="s">
        <v>58</v>
      </c>
      <c r="Z61" s="25">
        <f>IF(AQ61="5",BJ61,0)</f>
        <v>0</v>
      </c>
      <c r="AB61" s="25">
        <f>IF(AQ61="1",BH61,0)</f>
        <v>0</v>
      </c>
      <c r="AC61" s="25">
        <f>IF(AQ61="1",BI61,0)</f>
        <v>0</v>
      </c>
      <c r="AD61" s="25">
        <f>IF(AQ61="7",BH61,0)</f>
        <v>0</v>
      </c>
      <c r="AE61" s="25">
        <f>IF(AQ61="7",BI61,0)</f>
        <v>0</v>
      </c>
      <c r="AF61" s="25">
        <f>IF(AQ61="2",BH61,0)</f>
        <v>0</v>
      </c>
      <c r="AG61" s="25">
        <f>IF(AQ61="2",BI61,0)</f>
        <v>0</v>
      </c>
      <c r="AH61" s="25">
        <f>IF(AQ61="0",BJ61,0)</f>
        <v>0</v>
      </c>
      <c r="AI61" s="11" t="s">
        <v>51</v>
      </c>
      <c r="AJ61" s="25">
        <f>IF(AN61=0,J61,0)</f>
        <v>0</v>
      </c>
      <c r="AK61" s="25">
        <f>IF(AN61=12,J61,0)</f>
        <v>0</v>
      </c>
      <c r="AL61" s="25">
        <f>IF(AN61=21,J61,0)</f>
        <v>0</v>
      </c>
      <c r="AN61" s="25">
        <v>21</v>
      </c>
      <c r="AO61" s="25">
        <f>G61*0.419179688</f>
        <v>0</v>
      </c>
      <c r="AP61" s="25">
        <f>G61*(1-0.419179688)</f>
        <v>0</v>
      </c>
      <c r="AQ61" s="27" t="s">
        <v>65</v>
      </c>
      <c r="AV61" s="25">
        <f>AW61+AX61</f>
        <v>0</v>
      </c>
      <c r="AW61" s="25">
        <f>F61*AO61</f>
        <v>0</v>
      </c>
      <c r="AX61" s="25">
        <f>F61*AP61</f>
        <v>0</v>
      </c>
      <c r="AY61" s="27" t="s">
        <v>86</v>
      </c>
      <c r="AZ61" s="27" t="s">
        <v>70</v>
      </c>
      <c r="BA61" s="11" t="s">
        <v>61</v>
      </c>
      <c r="BC61" s="25">
        <f>AW61+AX61</f>
        <v>0</v>
      </c>
      <c r="BD61" s="25">
        <f>G61/(100-BE61)*100</f>
        <v>0</v>
      </c>
      <c r="BE61" s="25">
        <v>0</v>
      </c>
      <c r="BF61" s="25">
        <f>61</f>
        <v>61</v>
      </c>
      <c r="BH61" s="25">
        <f>F61*AO61</f>
        <v>0</v>
      </c>
      <c r="BI61" s="25">
        <f>F61*AP61</f>
        <v>0</v>
      </c>
      <c r="BJ61" s="25">
        <f>F61*G61</f>
        <v>0</v>
      </c>
      <c r="BK61" s="25"/>
      <c r="BL61" s="25"/>
      <c r="BW61" s="25">
        <v>21</v>
      </c>
      <c r="BX61" s="5" t="s">
        <v>148</v>
      </c>
    </row>
    <row r="62" spans="1:76" x14ac:dyDescent="0.25">
      <c r="A62" s="28"/>
      <c r="C62" s="29" t="s">
        <v>83</v>
      </c>
      <c r="D62" s="29" t="s">
        <v>97</v>
      </c>
      <c r="F62" s="30">
        <v>5</v>
      </c>
      <c r="K62" s="31"/>
    </row>
    <row r="63" spans="1:76" x14ac:dyDescent="0.25">
      <c r="A63" s="2" t="s">
        <v>149</v>
      </c>
      <c r="B63" s="3" t="s">
        <v>150</v>
      </c>
      <c r="C63" s="79" t="s">
        <v>151</v>
      </c>
      <c r="D63" s="74"/>
      <c r="E63" s="3" t="s">
        <v>68</v>
      </c>
      <c r="F63" s="25">
        <v>6</v>
      </c>
      <c r="G63" s="25">
        <v>0</v>
      </c>
      <c r="H63" s="25">
        <f>F63*AO63</f>
        <v>0</v>
      </c>
      <c r="I63" s="25">
        <f>F63*AP63</f>
        <v>0</v>
      </c>
      <c r="J63" s="25">
        <f>F63*G63</f>
        <v>0</v>
      </c>
      <c r="K63" s="26" t="s">
        <v>58</v>
      </c>
      <c r="Z63" s="25">
        <f>IF(AQ63="5",BJ63,0)</f>
        <v>0</v>
      </c>
      <c r="AB63" s="25">
        <f>IF(AQ63="1",BH63,0)</f>
        <v>0</v>
      </c>
      <c r="AC63" s="25">
        <f>IF(AQ63="1",BI63,0)</f>
        <v>0</v>
      </c>
      <c r="AD63" s="25">
        <f>IF(AQ63="7",BH63,0)</f>
        <v>0</v>
      </c>
      <c r="AE63" s="25">
        <f>IF(AQ63="7",BI63,0)</f>
        <v>0</v>
      </c>
      <c r="AF63" s="25">
        <f>IF(AQ63="2",BH63,0)</f>
        <v>0</v>
      </c>
      <c r="AG63" s="25">
        <f>IF(AQ63="2",BI63,0)</f>
        <v>0</v>
      </c>
      <c r="AH63" s="25">
        <f>IF(AQ63="0",BJ63,0)</f>
        <v>0</v>
      </c>
      <c r="AI63" s="11" t="s">
        <v>51</v>
      </c>
      <c r="AJ63" s="25">
        <f>IF(AN63=0,J63,0)</f>
        <v>0</v>
      </c>
      <c r="AK63" s="25">
        <f>IF(AN63=12,J63,0)</f>
        <v>0</v>
      </c>
      <c r="AL63" s="25">
        <f>IF(AN63=21,J63,0)</f>
        <v>0</v>
      </c>
      <c r="AN63" s="25">
        <v>21</v>
      </c>
      <c r="AO63" s="25">
        <f>G63*0</f>
        <v>0</v>
      </c>
      <c r="AP63" s="25">
        <f>G63*(1-0)</f>
        <v>0</v>
      </c>
      <c r="AQ63" s="27" t="s">
        <v>65</v>
      </c>
      <c r="AV63" s="25">
        <f>AW63+AX63</f>
        <v>0</v>
      </c>
      <c r="AW63" s="25">
        <f>F63*AO63</f>
        <v>0</v>
      </c>
      <c r="AX63" s="25">
        <f>F63*AP63</f>
        <v>0</v>
      </c>
      <c r="AY63" s="27" t="s">
        <v>86</v>
      </c>
      <c r="AZ63" s="27" t="s">
        <v>70</v>
      </c>
      <c r="BA63" s="11" t="s">
        <v>61</v>
      </c>
      <c r="BC63" s="25">
        <f>AW63+AX63</f>
        <v>0</v>
      </c>
      <c r="BD63" s="25">
        <f>G63/(100-BE63)*100</f>
        <v>0</v>
      </c>
      <c r="BE63" s="25">
        <v>0</v>
      </c>
      <c r="BF63" s="25">
        <f>63</f>
        <v>63</v>
      </c>
      <c r="BH63" s="25">
        <f>F63*AO63</f>
        <v>0</v>
      </c>
      <c r="BI63" s="25">
        <f>F63*AP63</f>
        <v>0</v>
      </c>
      <c r="BJ63" s="25">
        <f>F63*G63</f>
        <v>0</v>
      </c>
      <c r="BK63" s="25"/>
      <c r="BL63" s="25"/>
      <c r="BW63" s="25">
        <v>21</v>
      </c>
      <c r="BX63" s="5" t="s">
        <v>151</v>
      </c>
    </row>
    <row r="64" spans="1:76" x14ac:dyDescent="0.25">
      <c r="A64" s="28"/>
      <c r="C64" s="29" t="s">
        <v>71</v>
      </c>
      <c r="D64" s="29" t="s">
        <v>97</v>
      </c>
      <c r="F64" s="30">
        <v>6</v>
      </c>
      <c r="K64" s="31"/>
    </row>
    <row r="65" spans="1:76" x14ac:dyDescent="0.25">
      <c r="A65" s="2" t="s">
        <v>152</v>
      </c>
      <c r="B65" s="3" t="s">
        <v>153</v>
      </c>
      <c r="C65" s="79" t="s">
        <v>154</v>
      </c>
      <c r="D65" s="74"/>
      <c r="E65" s="3" t="s">
        <v>68</v>
      </c>
      <c r="F65" s="25">
        <v>1</v>
      </c>
      <c r="G65" s="25">
        <v>0</v>
      </c>
      <c r="H65" s="25">
        <f>F65*AO65</f>
        <v>0</v>
      </c>
      <c r="I65" s="25">
        <f>F65*AP65</f>
        <v>0</v>
      </c>
      <c r="J65" s="25">
        <f>F65*G65</f>
        <v>0</v>
      </c>
      <c r="K65" s="26" t="s">
        <v>58</v>
      </c>
      <c r="Z65" s="25">
        <f>IF(AQ65="5",BJ65,0)</f>
        <v>0</v>
      </c>
      <c r="AB65" s="25">
        <f>IF(AQ65="1",BH65,0)</f>
        <v>0</v>
      </c>
      <c r="AC65" s="25">
        <f>IF(AQ65="1",BI65,0)</f>
        <v>0</v>
      </c>
      <c r="AD65" s="25">
        <f>IF(AQ65="7",BH65,0)</f>
        <v>0</v>
      </c>
      <c r="AE65" s="25">
        <f>IF(AQ65="7",BI65,0)</f>
        <v>0</v>
      </c>
      <c r="AF65" s="25">
        <f>IF(AQ65="2",BH65,0)</f>
        <v>0</v>
      </c>
      <c r="AG65" s="25">
        <f>IF(AQ65="2",BI65,0)</f>
        <v>0</v>
      </c>
      <c r="AH65" s="25">
        <f>IF(AQ65="0",BJ65,0)</f>
        <v>0</v>
      </c>
      <c r="AI65" s="11" t="s">
        <v>51</v>
      </c>
      <c r="AJ65" s="25">
        <f>IF(AN65=0,J65,0)</f>
        <v>0</v>
      </c>
      <c r="AK65" s="25">
        <f>IF(AN65=12,J65,0)</f>
        <v>0</v>
      </c>
      <c r="AL65" s="25">
        <f>IF(AN65=21,J65,0)</f>
        <v>0</v>
      </c>
      <c r="AN65" s="25">
        <v>21</v>
      </c>
      <c r="AO65" s="25">
        <f>G65*0</f>
        <v>0</v>
      </c>
      <c r="AP65" s="25">
        <f>G65*(1-0)</f>
        <v>0</v>
      </c>
      <c r="AQ65" s="27" t="s">
        <v>65</v>
      </c>
      <c r="AV65" s="25">
        <f>AW65+AX65</f>
        <v>0</v>
      </c>
      <c r="AW65" s="25">
        <f>F65*AO65</f>
        <v>0</v>
      </c>
      <c r="AX65" s="25">
        <f>F65*AP65</f>
        <v>0</v>
      </c>
      <c r="AY65" s="27" t="s">
        <v>86</v>
      </c>
      <c r="AZ65" s="27" t="s">
        <v>70</v>
      </c>
      <c r="BA65" s="11" t="s">
        <v>61</v>
      </c>
      <c r="BC65" s="25">
        <f>AW65+AX65</f>
        <v>0</v>
      </c>
      <c r="BD65" s="25">
        <f>G65/(100-BE65)*100</f>
        <v>0</v>
      </c>
      <c r="BE65" s="25">
        <v>0</v>
      </c>
      <c r="BF65" s="25">
        <f>65</f>
        <v>65</v>
      </c>
      <c r="BH65" s="25">
        <f>F65*AO65</f>
        <v>0</v>
      </c>
      <c r="BI65" s="25">
        <f>F65*AP65</f>
        <v>0</v>
      </c>
      <c r="BJ65" s="25">
        <f>F65*G65</f>
        <v>0</v>
      </c>
      <c r="BK65" s="25"/>
      <c r="BL65" s="25"/>
      <c r="BW65" s="25">
        <v>21</v>
      </c>
      <c r="BX65" s="5" t="s">
        <v>154</v>
      </c>
    </row>
    <row r="66" spans="1:76" x14ac:dyDescent="0.25">
      <c r="A66" s="28"/>
      <c r="C66" s="29" t="s">
        <v>54</v>
      </c>
      <c r="D66" s="29" t="s">
        <v>51</v>
      </c>
      <c r="F66" s="30">
        <v>1</v>
      </c>
      <c r="K66" s="31"/>
    </row>
    <row r="67" spans="1:76" x14ac:dyDescent="0.25">
      <c r="A67" s="2" t="s">
        <v>155</v>
      </c>
      <c r="B67" s="3" t="s">
        <v>156</v>
      </c>
      <c r="C67" s="79" t="s">
        <v>157</v>
      </c>
      <c r="D67" s="74"/>
      <c r="E67" s="3" t="s">
        <v>68</v>
      </c>
      <c r="F67" s="25">
        <v>14</v>
      </c>
      <c r="G67" s="25">
        <v>0</v>
      </c>
      <c r="H67" s="25">
        <f>F67*AO67</f>
        <v>0</v>
      </c>
      <c r="I67" s="25">
        <f>F67*AP67</f>
        <v>0</v>
      </c>
      <c r="J67" s="25">
        <f>F67*G67</f>
        <v>0</v>
      </c>
      <c r="K67" s="26" t="s">
        <v>58</v>
      </c>
      <c r="Z67" s="25">
        <f>IF(AQ67="5",BJ67,0)</f>
        <v>0</v>
      </c>
      <c r="AB67" s="25">
        <f>IF(AQ67="1",BH67,0)</f>
        <v>0</v>
      </c>
      <c r="AC67" s="25">
        <f>IF(AQ67="1",BI67,0)</f>
        <v>0</v>
      </c>
      <c r="AD67" s="25">
        <f>IF(AQ67="7",BH67,0)</f>
        <v>0</v>
      </c>
      <c r="AE67" s="25">
        <f>IF(AQ67="7",BI67,0)</f>
        <v>0</v>
      </c>
      <c r="AF67" s="25">
        <f>IF(AQ67="2",BH67,0)</f>
        <v>0</v>
      </c>
      <c r="AG67" s="25">
        <f>IF(AQ67="2",BI67,0)</f>
        <v>0</v>
      </c>
      <c r="AH67" s="25">
        <f>IF(AQ67="0",BJ67,0)</f>
        <v>0</v>
      </c>
      <c r="AI67" s="11" t="s">
        <v>51</v>
      </c>
      <c r="AJ67" s="25">
        <f>IF(AN67=0,J67,0)</f>
        <v>0</v>
      </c>
      <c r="AK67" s="25">
        <f>IF(AN67=12,J67,0)</f>
        <v>0</v>
      </c>
      <c r="AL67" s="25">
        <f>IF(AN67=21,J67,0)</f>
        <v>0</v>
      </c>
      <c r="AN67" s="25">
        <v>21</v>
      </c>
      <c r="AO67" s="25">
        <f>G67*0</f>
        <v>0</v>
      </c>
      <c r="AP67" s="25">
        <f>G67*(1-0)</f>
        <v>0</v>
      </c>
      <c r="AQ67" s="27" t="s">
        <v>65</v>
      </c>
      <c r="AV67" s="25">
        <f>AW67+AX67</f>
        <v>0</v>
      </c>
      <c r="AW67" s="25">
        <f>F67*AO67</f>
        <v>0</v>
      </c>
      <c r="AX67" s="25">
        <f>F67*AP67</f>
        <v>0</v>
      </c>
      <c r="AY67" s="27" t="s">
        <v>86</v>
      </c>
      <c r="AZ67" s="27" t="s">
        <v>70</v>
      </c>
      <c r="BA67" s="11" t="s">
        <v>61</v>
      </c>
      <c r="BC67" s="25">
        <f>AW67+AX67</f>
        <v>0</v>
      </c>
      <c r="BD67" s="25">
        <f>G67/(100-BE67)*100</f>
        <v>0</v>
      </c>
      <c r="BE67" s="25">
        <v>0</v>
      </c>
      <c r="BF67" s="25">
        <f>67</f>
        <v>67</v>
      </c>
      <c r="BH67" s="25">
        <f>F67*AO67</f>
        <v>0</v>
      </c>
      <c r="BI67" s="25">
        <f>F67*AP67</f>
        <v>0</v>
      </c>
      <c r="BJ67" s="25">
        <f>F67*G67</f>
        <v>0</v>
      </c>
      <c r="BK67" s="25"/>
      <c r="BL67" s="25"/>
      <c r="BW67" s="25">
        <v>21</v>
      </c>
      <c r="BX67" s="5" t="s">
        <v>157</v>
      </c>
    </row>
    <row r="68" spans="1:76" x14ac:dyDescent="0.25">
      <c r="A68" s="28"/>
      <c r="C68" s="29" t="s">
        <v>109</v>
      </c>
      <c r="D68" s="29" t="s">
        <v>158</v>
      </c>
      <c r="F68" s="30">
        <v>14</v>
      </c>
      <c r="K68" s="31"/>
    </row>
    <row r="69" spans="1:76" x14ac:dyDescent="0.25">
      <c r="A69" s="2" t="s">
        <v>159</v>
      </c>
      <c r="B69" s="3" t="s">
        <v>160</v>
      </c>
      <c r="C69" s="79" t="s">
        <v>161</v>
      </c>
      <c r="D69" s="74"/>
      <c r="E69" s="3" t="s">
        <v>68</v>
      </c>
      <c r="F69" s="25">
        <v>5</v>
      </c>
      <c r="G69" s="25">
        <v>0</v>
      </c>
      <c r="H69" s="25">
        <f>F69*AO69</f>
        <v>0</v>
      </c>
      <c r="I69" s="25">
        <f>F69*AP69</f>
        <v>0</v>
      </c>
      <c r="J69" s="25">
        <f>F69*G69</f>
        <v>0</v>
      </c>
      <c r="K69" s="26" t="s">
        <v>58</v>
      </c>
      <c r="Z69" s="25">
        <f>IF(AQ69="5",BJ69,0)</f>
        <v>0</v>
      </c>
      <c r="AB69" s="25">
        <f>IF(AQ69="1",BH69,0)</f>
        <v>0</v>
      </c>
      <c r="AC69" s="25">
        <f>IF(AQ69="1",BI69,0)</f>
        <v>0</v>
      </c>
      <c r="AD69" s="25">
        <f>IF(AQ69="7",BH69,0)</f>
        <v>0</v>
      </c>
      <c r="AE69" s="25">
        <f>IF(AQ69="7",BI69,0)</f>
        <v>0</v>
      </c>
      <c r="AF69" s="25">
        <f>IF(AQ69="2",BH69,0)</f>
        <v>0</v>
      </c>
      <c r="AG69" s="25">
        <f>IF(AQ69="2",BI69,0)</f>
        <v>0</v>
      </c>
      <c r="AH69" s="25">
        <f>IF(AQ69="0",BJ69,0)</f>
        <v>0</v>
      </c>
      <c r="AI69" s="11" t="s">
        <v>51</v>
      </c>
      <c r="AJ69" s="25">
        <f>IF(AN69=0,J69,0)</f>
        <v>0</v>
      </c>
      <c r="AK69" s="25">
        <f>IF(AN69=12,J69,0)</f>
        <v>0</v>
      </c>
      <c r="AL69" s="25">
        <f>IF(AN69=21,J69,0)</f>
        <v>0</v>
      </c>
      <c r="AN69" s="25">
        <v>21</v>
      </c>
      <c r="AO69" s="25">
        <f>G69*0</f>
        <v>0</v>
      </c>
      <c r="AP69" s="25">
        <f>G69*(1-0)</f>
        <v>0</v>
      </c>
      <c r="AQ69" s="27" t="s">
        <v>65</v>
      </c>
      <c r="AV69" s="25">
        <f>AW69+AX69</f>
        <v>0</v>
      </c>
      <c r="AW69" s="25">
        <f>F69*AO69</f>
        <v>0</v>
      </c>
      <c r="AX69" s="25">
        <f>F69*AP69</f>
        <v>0</v>
      </c>
      <c r="AY69" s="27" t="s">
        <v>86</v>
      </c>
      <c r="AZ69" s="27" t="s">
        <v>70</v>
      </c>
      <c r="BA69" s="11" t="s">
        <v>61</v>
      </c>
      <c r="BC69" s="25">
        <f>AW69+AX69</f>
        <v>0</v>
      </c>
      <c r="BD69" s="25">
        <f>G69/(100-BE69)*100</f>
        <v>0</v>
      </c>
      <c r="BE69" s="25">
        <v>0</v>
      </c>
      <c r="BF69" s="25">
        <f>69</f>
        <v>69</v>
      </c>
      <c r="BH69" s="25">
        <f>F69*AO69</f>
        <v>0</v>
      </c>
      <c r="BI69" s="25">
        <f>F69*AP69</f>
        <v>0</v>
      </c>
      <c r="BJ69" s="25">
        <f>F69*G69</f>
        <v>0</v>
      </c>
      <c r="BK69" s="25"/>
      <c r="BL69" s="25"/>
      <c r="BW69" s="25">
        <v>21</v>
      </c>
      <c r="BX69" s="5" t="s">
        <v>161</v>
      </c>
    </row>
    <row r="70" spans="1:76" x14ac:dyDescent="0.25">
      <c r="A70" s="28"/>
      <c r="C70" s="29" t="s">
        <v>83</v>
      </c>
      <c r="D70" s="29" t="s">
        <v>158</v>
      </c>
      <c r="F70" s="30">
        <v>5</v>
      </c>
      <c r="K70" s="31"/>
    </row>
    <row r="71" spans="1:76" x14ac:dyDescent="0.25">
      <c r="A71" s="2" t="s">
        <v>162</v>
      </c>
      <c r="B71" s="3" t="s">
        <v>163</v>
      </c>
      <c r="C71" s="79" t="s">
        <v>164</v>
      </c>
      <c r="D71" s="74"/>
      <c r="E71" s="3" t="s">
        <v>68</v>
      </c>
      <c r="F71" s="25">
        <v>14</v>
      </c>
      <c r="G71" s="25">
        <v>0</v>
      </c>
      <c r="H71" s="25">
        <f>F71*AO71</f>
        <v>0</v>
      </c>
      <c r="I71" s="25">
        <f>F71*AP71</f>
        <v>0</v>
      </c>
      <c r="J71" s="25">
        <f>F71*G71</f>
        <v>0</v>
      </c>
      <c r="K71" s="26" t="s">
        <v>58</v>
      </c>
      <c r="Z71" s="25">
        <f>IF(AQ71="5",BJ71,0)</f>
        <v>0</v>
      </c>
      <c r="AB71" s="25">
        <f>IF(AQ71="1",BH71,0)</f>
        <v>0</v>
      </c>
      <c r="AC71" s="25">
        <f>IF(AQ71="1",BI71,0)</f>
        <v>0</v>
      </c>
      <c r="AD71" s="25">
        <f>IF(AQ71="7",BH71,0)</f>
        <v>0</v>
      </c>
      <c r="AE71" s="25">
        <f>IF(AQ71="7",BI71,0)</f>
        <v>0</v>
      </c>
      <c r="AF71" s="25">
        <f>IF(AQ71="2",BH71,0)</f>
        <v>0</v>
      </c>
      <c r="AG71" s="25">
        <f>IF(AQ71="2",BI71,0)</f>
        <v>0</v>
      </c>
      <c r="AH71" s="25">
        <f>IF(AQ71="0",BJ71,0)</f>
        <v>0</v>
      </c>
      <c r="AI71" s="11" t="s">
        <v>51</v>
      </c>
      <c r="AJ71" s="25">
        <f>IF(AN71=0,J71,0)</f>
        <v>0</v>
      </c>
      <c r="AK71" s="25">
        <f>IF(AN71=12,J71,0)</f>
        <v>0</v>
      </c>
      <c r="AL71" s="25">
        <f>IF(AN71=21,J71,0)</f>
        <v>0</v>
      </c>
      <c r="AN71" s="25">
        <v>21</v>
      </c>
      <c r="AO71" s="25">
        <f>G71*0</f>
        <v>0</v>
      </c>
      <c r="AP71" s="25">
        <f>G71*(1-0)</f>
        <v>0</v>
      </c>
      <c r="AQ71" s="27" t="s">
        <v>65</v>
      </c>
      <c r="AV71" s="25">
        <f>AW71+AX71</f>
        <v>0</v>
      </c>
      <c r="AW71" s="25">
        <f>F71*AO71</f>
        <v>0</v>
      </c>
      <c r="AX71" s="25">
        <f>F71*AP71</f>
        <v>0</v>
      </c>
      <c r="AY71" s="27" t="s">
        <v>86</v>
      </c>
      <c r="AZ71" s="27" t="s">
        <v>70</v>
      </c>
      <c r="BA71" s="11" t="s">
        <v>61</v>
      </c>
      <c r="BC71" s="25">
        <f>AW71+AX71</f>
        <v>0</v>
      </c>
      <c r="BD71" s="25">
        <f>G71/(100-BE71)*100</f>
        <v>0</v>
      </c>
      <c r="BE71" s="25">
        <v>0</v>
      </c>
      <c r="BF71" s="25">
        <f>71</f>
        <v>71</v>
      </c>
      <c r="BH71" s="25">
        <f>F71*AO71</f>
        <v>0</v>
      </c>
      <c r="BI71" s="25">
        <f>F71*AP71</f>
        <v>0</v>
      </c>
      <c r="BJ71" s="25">
        <f>F71*G71</f>
        <v>0</v>
      </c>
      <c r="BK71" s="25"/>
      <c r="BL71" s="25"/>
      <c r="BW71" s="25">
        <v>21</v>
      </c>
      <c r="BX71" s="5" t="s">
        <v>164</v>
      </c>
    </row>
    <row r="72" spans="1:76" x14ac:dyDescent="0.25">
      <c r="A72" s="28"/>
      <c r="C72" s="29" t="s">
        <v>109</v>
      </c>
      <c r="D72" s="29" t="s">
        <v>165</v>
      </c>
      <c r="F72" s="30">
        <v>14</v>
      </c>
      <c r="K72" s="31"/>
    </row>
    <row r="73" spans="1:76" x14ac:dyDescent="0.25">
      <c r="A73" s="2" t="s">
        <v>166</v>
      </c>
      <c r="B73" s="3" t="s">
        <v>167</v>
      </c>
      <c r="C73" s="79" t="s">
        <v>168</v>
      </c>
      <c r="D73" s="74"/>
      <c r="E73" s="3" t="s">
        <v>68</v>
      </c>
      <c r="F73" s="25">
        <v>5</v>
      </c>
      <c r="G73" s="25">
        <v>0</v>
      </c>
      <c r="H73" s="25">
        <f>F73*AO73</f>
        <v>0</v>
      </c>
      <c r="I73" s="25">
        <f>F73*AP73</f>
        <v>0</v>
      </c>
      <c r="J73" s="25">
        <f>F73*G73</f>
        <v>0</v>
      </c>
      <c r="K73" s="26" t="s">
        <v>58</v>
      </c>
      <c r="Z73" s="25">
        <f>IF(AQ73="5",BJ73,0)</f>
        <v>0</v>
      </c>
      <c r="AB73" s="25">
        <f>IF(AQ73="1",BH73,0)</f>
        <v>0</v>
      </c>
      <c r="AC73" s="25">
        <f>IF(AQ73="1",BI73,0)</f>
        <v>0</v>
      </c>
      <c r="AD73" s="25">
        <f>IF(AQ73="7",BH73,0)</f>
        <v>0</v>
      </c>
      <c r="AE73" s="25">
        <f>IF(AQ73="7",BI73,0)</f>
        <v>0</v>
      </c>
      <c r="AF73" s="25">
        <f>IF(AQ73="2",BH73,0)</f>
        <v>0</v>
      </c>
      <c r="AG73" s="25">
        <f>IF(AQ73="2",BI73,0)</f>
        <v>0</v>
      </c>
      <c r="AH73" s="25">
        <f>IF(AQ73="0",BJ73,0)</f>
        <v>0</v>
      </c>
      <c r="AI73" s="11" t="s">
        <v>51</v>
      </c>
      <c r="AJ73" s="25">
        <f>IF(AN73=0,J73,0)</f>
        <v>0</v>
      </c>
      <c r="AK73" s="25">
        <f>IF(AN73=12,J73,0)</f>
        <v>0</v>
      </c>
      <c r="AL73" s="25">
        <f>IF(AN73=21,J73,0)</f>
        <v>0</v>
      </c>
      <c r="AN73" s="25">
        <v>21</v>
      </c>
      <c r="AO73" s="25">
        <f>G73*0</f>
        <v>0</v>
      </c>
      <c r="AP73" s="25">
        <f>G73*(1-0)</f>
        <v>0</v>
      </c>
      <c r="AQ73" s="27" t="s">
        <v>65</v>
      </c>
      <c r="AV73" s="25">
        <f>AW73+AX73</f>
        <v>0</v>
      </c>
      <c r="AW73" s="25">
        <f>F73*AO73</f>
        <v>0</v>
      </c>
      <c r="AX73" s="25">
        <f>F73*AP73</f>
        <v>0</v>
      </c>
      <c r="AY73" s="27" t="s">
        <v>86</v>
      </c>
      <c r="AZ73" s="27" t="s">
        <v>70</v>
      </c>
      <c r="BA73" s="11" t="s">
        <v>61</v>
      </c>
      <c r="BC73" s="25">
        <f>AW73+AX73</f>
        <v>0</v>
      </c>
      <c r="BD73" s="25">
        <f>G73/(100-BE73)*100</f>
        <v>0</v>
      </c>
      <c r="BE73" s="25">
        <v>0</v>
      </c>
      <c r="BF73" s="25">
        <f>73</f>
        <v>73</v>
      </c>
      <c r="BH73" s="25">
        <f>F73*AO73</f>
        <v>0</v>
      </c>
      <c r="BI73" s="25">
        <f>F73*AP73</f>
        <v>0</v>
      </c>
      <c r="BJ73" s="25">
        <f>F73*G73</f>
        <v>0</v>
      </c>
      <c r="BK73" s="25"/>
      <c r="BL73" s="25"/>
      <c r="BW73" s="25">
        <v>21</v>
      </c>
      <c r="BX73" s="5" t="s">
        <v>168</v>
      </c>
    </row>
    <row r="74" spans="1:76" x14ac:dyDescent="0.25">
      <c r="A74" s="28"/>
      <c r="C74" s="29" t="s">
        <v>83</v>
      </c>
      <c r="D74" s="29" t="s">
        <v>51</v>
      </c>
      <c r="F74" s="30">
        <v>5</v>
      </c>
      <c r="K74" s="31"/>
    </row>
    <row r="75" spans="1:76" x14ac:dyDescent="0.25">
      <c r="A75" s="2" t="s">
        <v>169</v>
      </c>
      <c r="B75" s="3" t="s">
        <v>170</v>
      </c>
      <c r="C75" s="79" t="s">
        <v>171</v>
      </c>
      <c r="D75" s="74"/>
      <c r="E75" s="3" t="s">
        <v>68</v>
      </c>
      <c r="F75" s="25">
        <v>6</v>
      </c>
      <c r="G75" s="25">
        <v>0</v>
      </c>
      <c r="H75" s="25">
        <f>F75*AO75</f>
        <v>0</v>
      </c>
      <c r="I75" s="25">
        <f>F75*AP75</f>
        <v>0</v>
      </c>
      <c r="J75" s="25">
        <f>F75*G75</f>
        <v>0</v>
      </c>
      <c r="K75" s="26" t="s">
        <v>58</v>
      </c>
      <c r="Z75" s="25">
        <f>IF(AQ75="5",BJ75,0)</f>
        <v>0</v>
      </c>
      <c r="AB75" s="25">
        <f>IF(AQ75="1",BH75,0)</f>
        <v>0</v>
      </c>
      <c r="AC75" s="25">
        <f>IF(AQ75="1",BI75,0)</f>
        <v>0</v>
      </c>
      <c r="AD75" s="25">
        <f>IF(AQ75="7",BH75,0)</f>
        <v>0</v>
      </c>
      <c r="AE75" s="25">
        <f>IF(AQ75="7",BI75,0)</f>
        <v>0</v>
      </c>
      <c r="AF75" s="25">
        <f>IF(AQ75="2",BH75,0)</f>
        <v>0</v>
      </c>
      <c r="AG75" s="25">
        <f>IF(AQ75="2",BI75,0)</f>
        <v>0</v>
      </c>
      <c r="AH75" s="25">
        <f>IF(AQ75="0",BJ75,0)</f>
        <v>0</v>
      </c>
      <c r="AI75" s="11" t="s">
        <v>51</v>
      </c>
      <c r="AJ75" s="25">
        <f>IF(AN75=0,J75,0)</f>
        <v>0</v>
      </c>
      <c r="AK75" s="25">
        <f>IF(AN75=12,J75,0)</f>
        <v>0</v>
      </c>
      <c r="AL75" s="25">
        <f>IF(AN75=21,J75,0)</f>
        <v>0</v>
      </c>
      <c r="AN75" s="25">
        <v>21</v>
      </c>
      <c r="AO75" s="25">
        <f>G75*0</f>
        <v>0</v>
      </c>
      <c r="AP75" s="25">
        <f>G75*(1-0)</f>
        <v>0</v>
      </c>
      <c r="AQ75" s="27" t="s">
        <v>65</v>
      </c>
      <c r="AV75" s="25">
        <f>AW75+AX75</f>
        <v>0</v>
      </c>
      <c r="AW75" s="25">
        <f>F75*AO75</f>
        <v>0</v>
      </c>
      <c r="AX75" s="25">
        <f>F75*AP75</f>
        <v>0</v>
      </c>
      <c r="AY75" s="27" t="s">
        <v>86</v>
      </c>
      <c r="AZ75" s="27" t="s">
        <v>70</v>
      </c>
      <c r="BA75" s="11" t="s">
        <v>61</v>
      </c>
      <c r="BC75" s="25">
        <f>AW75+AX75</f>
        <v>0</v>
      </c>
      <c r="BD75" s="25">
        <f>G75/(100-BE75)*100</f>
        <v>0</v>
      </c>
      <c r="BE75" s="25">
        <v>0</v>
      </c>
      <c r="BF75" s="25">
        <f>75</f>
        <v>75</v>
      </c>
      <c r="BH75" s="25">
        <f>F75*AO75</f>
        <v>0</v>
      </c>
      <c r="BI75" s="25">
        <f>F75*AP75</f>
        <v>0</v>
      </c>
      <c r="BJ75" s="25">
        <f>F75*G75</f>
        <v>0</v>
      </c>
      <c r="BK75" s="25"/>
      <c r="BL75" s="25"/>
      <c r="BW75" s="25">
        <v>21</v>
      </c>
      <c r="BX75" s="5" t="s">
        <v>171</v>
      </c>
    </row>
    <row r="76" spans="1:76" x14ac:dyDescent="0.25">
      <c r="A76" s="28"/>
      <c r="C76" s="29" t="s">
        <v>71</v>
      </c>
      <c r="D76" s="29" t="s">
        <v>172</v>
      </c>
      <c r="F76" s="30">
        <v>6</v>
      </c>
      <c r="K76" s="31"/>
    </row>
    <row r="77" spans="1:76" x14ac:dyDescent="0.25">
      <c r="A77" s="2" t="s">
        <v>173</v>
      </c>
      <c r="B77" s="3" t="s">
        <v>174</v>
      </c>
      <c r="C77" s="79" t="s">
        <v>175</v>
      </c>
      <c r="D77" s="74"/>
      <c r="E77" s="3" t="s">
        <v>68</v>
      </c>
      <c r="F77" s="25">
        <v>2</v>
      </c>
      <c r="G77" s="25">
        <v>0</v>
      </c>
      <c r="H77" s="25">
        <f>F77*AO77</f>
        <v>0</v>
      </c>
      <c r="I77" s="25">
        <f>F77*AP77</f>
        <v>0</v>
      </c>
      <c r="J77" s="25">
        <f>F77*G77</f>
        <v>0</v>
      </c>
      <c r="K77" s="26" t="s">
        <v>58</v>
      </c>
      <c r="Z77" s="25">
        <f>IF(AQ77="5",BJ77,0)</f>
        <v>0</v>
      </c>
      <c r="AB77" s="25">
        <f>IF(AQ77="1",BH77,0)</f>
        <v>0</v>
      </c>
      <c r="AC77" s="25">
        <f>IF(AQ77="1",BI77,0)</f>
        <v>0</v>
      </c>
      <c r="AD77" s="25">
        <f>IF(AQ77="7",BH77,0)</f>
        <v>0</v>
      </c>
      <c r="AE77" s="25">
        <f>IF(AQ77="7",BI77,0)</f>
        <v>0</v>
      </c>
      <c r="AF77" s="25">
        <f>IF(AQ77="2",BH77,0)</f>
        <v>0</v>
      </c>
      <c r="AG77" s="25">
        <f>IF(AQ77="2",BI77,0)</f>
        <v>0</v>
      </c>
      <c r="AH77" s="25">
        <f>IF(AQ77="0",BJ77,0)</f>
        <v>0</v>
      </c>
      <c r="AI77" s="11" t="s">
        <v>51</v>
      </c>
      <c r="AJ77" s="25">
        <f>IF(AN77=0,J77,0)</f>
        <v>0</v>
      </c>
      <c r="AK77" s="25">
        <f>IF(AN77=12,J77,0)</f>
        <v>0</v>
      </c>
      <c r="AL77" s="25">
        <f>IF(AN77=21,J77,0)</f>
        <v>0</v>
      </c>
      <c r="AN77" s="25">
        <v>21</v>
      </c>
      <c r="AO77" s="25">
        <f>G77*0</f>
        <v>0</v>
      </c>
      <c r="AP77" s="25">
        <f>G77*(1-0)</f>
        <v>0</v>
      </c>
      <c r="AQ77" s="27" t="s">
        <v>65</v>
      </c>
      <c r="AV77" s="25">
        <f>AW77+AX77</f>
        <v>0</v>
      </c>
      <c r="AW77" s="25">
        <f>F77*AO77</f>
        <v>0</v>
      </c>
      <c r="AX77" s="25">
        <f>F77*AP77</f>
        <v>0</v>
      </c>
      <c r="AY77" s="27" t="s">
        <v>86</v>
      </c>
      <c r="AZ77" s="27" t="s">
        <v>70</v>
      </c>
      <c r="BA77" s="11" t="s">
        <v>61</v>
      </c>
      <c r="BC77" s="25">
        <f>AW77+AX77</f>
        <v>0</v>
      </c>
      <c r="BD77" s="25">
        <f>G77/(100-BE77)*100</f>
        <v>0</v>
      </c>
      <c r="BE77" s="25">
        <v>0</v>
      </c>
      <c r="BF77" s="25">
        <f>77</f>
        <v>77</v>
      </c>
      <c r="BH77" s="25">
        <f>F77*AO77</f>
        <v>0</v>
      </c>
      <c r="BI77" s="25">
        <f>F77*AP77</f>
        <v>0</v>
      </c>
      <c r="BJ77" s="25">
        <f>F77*G77</f>
        <v>0</v>
      </c>
      <c r="BK77" s="25"/>
      <c r="BL77" s="25"/>
      <c r="BW77" s="25">
        <v>21</v>
      </c>
      <c r="BX77" s="5" t="s">
        <v>175</v>
      </c>
    </row>
    <row r="78" spans="1:76" x14ac:dyDescent="0.25">
      <c r="A78" s="28"/>
      <c r="C78" s="29" t="s">
        <v>65</v>
      </c>
      <c r="D78" s="29" t="s">
        <v>51</v>
      </c>
      <c r="F78" s="30">
        <v>2</v>
      </c>
      <c r="K78" s="31"/>
    </row>
    <row r="79" spans="1:76" x14ac:dyDescent="0.25">
      <c r="A79" s="2" t="s">
        <v>176</v>
      </c>
      <c r="B79" s="3" t="s">
        <v>177</v>
      </c>
      <c r="C79" s="79" t="s">
        <v>178</v>
      </c>
      <c r="D79" s="74"/>
      <c r="E79" s="3" t="s">
        <v>68</v>
      </c>
      <c r="F79" s="25">
        <v>4</v>
      </c>
      <c r="G79" s="25">
        <v>0</v>
      </c>
      <c r="H79" s="25">
        <f>F79*AO79</f>
        <v>0</v>
      </c>
      <c r="I79" s="25">
        <f>F79*AP79</f>
        <v>0</v>
      </c>
      <c r="J79" s="25">
        <f>F79*G79</f>
        <v>0</v>
      </c>
      <c r="K79" s="26" t="s">
        <v>58</v>
      </c>
      <c r="Z79" s="25">
        <f>IF(AQ79="5",BJ79,0)</f>
        <v>0</v>
      </c>
      <c r="AB79" s="25">
        <f>IF(AQ79="1",BH79,0)</f>
        <v>0</v>
      </c>
      <c r="AC79" s="25">
        <f>IF(AQ79="1",BI79,0)</f>
        <v>0</v>
      </c>
      <c r="AD79" s="25">
        <f>IF(AQ79="7",BH79,0)</f>
        <v>0</v>
      </c>
      <c r="AE79" s="25">
        <f>IF(AQ79="7",BI79,0)</f>
        <v>0</v>
      </c>
      <c r="AF79" s="25">
        <f>IF(AQ79="2",BH79,0)</f>
        <v>0</v>
      </c>
      <c r="AG79" s="25">
        <f>IF(AQ79="2",BI79,0)</f>
        <v>0</v>
      </c>
      <c r="AH79" s="25">
        <f>IF(AQ79="0",BJ79,0)</f>
        <v>0</v>
      </c>
      <c r="AI79" s="11" t="s">
        <v>51</v>
      </c>
      <c r="AJ79" s="25">
        <f>IF(AN79=0,J79,0)</f>
        <v>0</v>
      </c>
      <c r="AK79" s="25">
        <f>IF(AN79=12,J79,0)</f>
        <v>0</v>
      </c>
      <c r="AL79" s="25">
        <f>IF(AN79=21,J79,0)</f>
        <v>0</v>
      </c>
      <c r="AN79" s="25">
        <v>21</v>
      </c>
      <c r="AO79" s="25">
        <f>G79*0</f>
        <v>0</v>
      </c>
      <c r="AP79" s="25">
        <f>G79*(1-0)</f>
        <v>0</v>
      </c>
      <c r="AQ79" s="27" t="s">
        <v>65</v>
      </c>
      <c r="AV79" s="25">
        <f>AW79+AX79</f>
        <v>0</v>
      </c>
      <c r="AW79" s="25">
        <f>F79*AO79</f>
        <v>0</v>
      </c>
      <c r="AX79" s="25">
        <f>F79*AP79</f>
        <v>0</v>
      </c>
      <c r="AY79" s="27" t="s">
        <v>86</v>
      </c>
      <c r="AZ79" s="27" t="s">
        <v>70</v>
      </c>
      <c r="BA79" s="11" t="s">
        <v>61</v>
      </c>
      <c r="BC79" s="25">
        <f>AW79+AX79</f>
        <v>0</v>
      </c>
      <c r="BD79" s="25">
        <f>G79/(100-BE79)*100</f>
        <v>0</v>
      </c>
      <c r="BE79" s="25">
        <v>0</v>
      </c>
      <c r="BF79" s="25">
        <f>79</f>
        <v>79</v>
      </c>
      <c r="BH79" s="25">
        <f>F79*AO79</f>
        <v>0</v>
      </c>
      <c r="BI79" s="25">
        <f>F79*AP79</f>
        <v>0</v>
      </c>
      <c r="BJ79" s="25">
        <f>F79*G79</f>
        <v>0</v>
      </c>
      <c r="BK79" s="25"/>
      <c r="BL79" s="25"/>
      <c r="BW79" s="25">
        <v>21</v>
      </c>
      <c r="BX79" s="5" t="s">
        <v>178</v>
      </c>
    </row>
    <row r="80" spans="1:76" x14ac:dyDescent="0.25">
      <c r="A80" s="28"/>
      <c r="C80" s="29" t="s">
        <v>77</v>
      </c>
      <c r="D80" s="29" t="s">
        <v>179</v>
      </c>
      <c r="F80" s="30">
        <v>4</v>
      </c>
      <c r="K80" s="31"/>
    </row>
    <row r="81" spans="1:76" x14ac:dyDescent="0.25">
      <c r="A81" s="2" t="s">
        <v>180</v>
      </c>
      <c r="B81" s="3" t="s">
        <v>181</v>
      </c>
      <c r="C81" s="79" t="s">
        <v>182</v>
      </c>
      <c r="D81" s="74"/>
      <c r="E81" s="3" t="s">
        <v>68</v>
      </c>
      <c r="F81" s="25">
        <v>1</v>
      </c>
      <c r="G81" s="25">
        <v>0</v>
      </c>
      <c r="H81" s="25">
        <f>F81*AO81</f>
        <v>0</v>
      </c>
      <c r="I81" s="25">
        <f>F81*AP81</f>
        <v>0</v>
      </c>
      <c r="J81" s="25">
        <f>F81*G81</f>
        <v>0</v>
      </c>
      <c r="K81" s="26" t="s">
        <v>58</v>
      </c>
      <c r="Z81" s="25">
        <f>IF(AQ81="5",BJ81,0)</f>
        <v>0</v>
      </c>
      <c r="AB81" s="25">
        <f>IF(AQ81="1",BH81,0)</f>
        <v>0</v>
      </c>
      <c r="AC81" s="25">
        <f>IF(AQ81="1",BI81,0)</f>
        <v>0</v>
      </c>
      <c r="AD81" s="25">
        <f>IF(AQ81="7",BH81,0)</f>
        <v>0</v>
      </c>
      <c r="AE81" s="25">
        <f>IF(AQ81="7",BI81,0)</f>
        <v>0</v>
      </c>
      <c r="AF81" s="25">
        <f>IF(AQ81="2",BH81,0)</f>
        <v>0</v>
      </c>
      <c r="AG81" s="25">
        <f>IF(AQ81="2",BI81,0)</f>
        <v>0</v>
      </c>
      <c r="AH81" s="25">
        <f>IF(AQ81="0",BJ81,0)</f>
        <v>0</v>
      </c>
      <c r="AI81" s="11" t="s">
        <v>51</v>
      </c>
      <c r="AJ81" s="25">
        <f>IF(AN81=0,J81,0)</f>
        <v>0</v>
      </c>
      <c r="AK81" s="25">
        <f>IF(AN81=12,J81,0)</f>
        <v>0</v>
      </c>
      <c r="AL81" s="25">
        <f>IF(AN81=21,J81,0)</f>
        <v>0</v>
      </c>
      <c r="AN81" s="25">
        <v>21</v>
      </c>
      <c r="AO81" s="25">
        <f>G81*0</f>
        <v>0</v>
      </c>
      <c r="AP81" s="25">
        <f>G81*(1-0)</f>
        <v>0</v>
      </c>
      <c r="AQ81" s="27" t="s">
        <v>65</v>
      </c>
      <c r="AV81" s="25">
        <f>AW81+AX81</f>
        <v>0</v>
      </c>
      <c r="AW81" s="25">
        <f>F81*AO81</f>
        <v>0</v>
      </c>
      <c r="AX81" s="25">
        <f>F81*AP81</f>
        <v>0</v>
      </c>
      <c r="AY81" s="27" t="s">
        <v>86</v>
      </c>
      <c r="AZ81" s="27" t="s">
        <v>70</v>
      </c>
      <c r="BA81" s="11" t="s">
        <v>61</v>
      </c>
      <c r="BC81" s="25">
        <f>AW81+AX81</f>
        <v>0</v>
      </c>
      <c r="BD81" s="25">
        <f>G81/(100-BE81)*100</f>
        <v>0</v>
      </c>
      <c r="BE81" s="25">
        <v>0</v>
      </c>
      <c r="BF81" s="25">
        <f>81</f>
        <v>81</v>
      </c>
      <c r="BH81" s="25">
        <f>F81*AO81</f>
        <v>0</v>
      </c>
      <c r="BI81" s="25">
        <f>F81*AP81</f>
        <v>0</v>
      </c>
      <c r="BJ81" s="25">
        <f>F81*G81</f>
        <v>0</v>
      </c>
      <c r="BK81" s="25"/>
      <c r="BL81" s="25"/>
      <c r="BW81" s="25">
        <v>21</v>
      </c>
      <c r="BX81" s="5" t="s">
        <v>182</v>
      </c>
    </row>
    <row r="82" spans="1:76" x14ac:dyDescent="0.25">
      <c r="A82" s="28"/>
      <c r="C82" s="29" t="s">
        <v>54</v>
      </c>
      <c r="D82" s="29" t="s">
        <v>172</v>
      </c>
      <c r="F82" s="30">
        <v>1</v>
      </c>
      <c r="K82" s="31"/>
    </row>
    <row r="83" spans="1:76" x14ac:dyDescent="0.25">
      <c r="A83" s="2" t="s">
        <v>183</v>
      </c>
      <c r="B83" s="3" t="s">
        <v>184</v>
      </c>
      <c r="C83" s="79" t="s">
        <v>185</v>
      </c>
      <c r="D83" s="74"/>
      <c r="E83" s="3" t="s">
        <v>186</v>
      </c>
      <c r="F83" s="25">
        <v>1</v>
      </c>
      <c r="G83" s="25">
        <v>0</v>
      </c>
      <c r="H83" s="25">
        <f>F83*AO83</f>
        <v>0</v>
      </c>
      <c r="I83" s="25">
        <f>F83*AP83</f>
        <v>0</v>
      </c>
      <c r="J83" s="25">
        <f>F83*G83</f>
        <v>0</v>
      </c>
      <c r="K83" s="26" t="s">
        <v>58</v>
      </c>
      <c r="Z83" s="25">
        <f>IF(AQ83="5",BJ83,0)</f>
        <v>0</v>
      </c>
      <c r="AB83" s="25">
        <f>IF(AQ83="1",BH83,0)</f>
        <v>0</v>
      </c>
      <c r="AC83" s="25">
        <f>IF(AQ83="1",BI83,0)</f>
        <v>0</v>
      </c>
      <c r="AD83" s="25">
        <f>IF(AQ83="7",BH83,0)</f>
        <v>0</v>
      </c>
      <c r="AE83" s="25">
        <f>IF(AQ83="7",BI83,0)</f>
        <v>0</v>
      </c>
      <c r="AF83" s="25">
        <f>IF(AQ83="2",BH83,0)</f>
        <v>0</v>
      </c>
      <c r="AG83" s="25">
        <f>IF(AQ83="2",BI83,0)</f>
        <v>0</v>
      </c>
      <c r="AH83" s="25">
        <f>IF(AQ83="0",BJ83,0)</f>
        <v>0</v>
      </c>
      <c r="AI83" s="11" t="s">
        <v>51</v>
      </c>
      <c r="AJ83" s="25">
        <f>IF(AN83=0,J83,0)</f>
        <v>0</v>
      </c>
      <c r="AK83" s="25">
        <f>IF(AN83=12,J83,0)</f>
        <v>0</v>
      </c>
      <c r="AL83" s="25">
        <f>IF(AN83=21,J83,0)</f>
        <v>0</v>
      </c>
      <c r="AN83" s="25">
        <v>21</v>
      </c>
      <c r="AO83" s="25">
        <f>G83*0</f>
        <v>0</v>
      </c>
      <c r="AP83" s="25">
        <f>G83*(1-0)</f>
        <v>0</v>
      </c>
      <c r="AQ83" s="27" t="s">
        <v>65</v>
      </c>
      <c r="AV83" s="25">
        <f>AW83+AX83</f>
        <v>0</v>
      </c>
      <c r="AW83" s="25">
        <f>F83*AO83</f>
        <v>0</v>
      </c>
      <c r="AX83" s="25">
        <f>F83*AP83</f>
        <v>0</v>
      </c>
      <c r="AY83" s="27" t="s">
        <v>86</v>
      </c>
      <c r="AZ83" s="27" t="s">
        <v>70</v>
      </c>
      <c r="BA83" s="11" t="s">
        <v>61</v>
      </c>
      <c r="BC83" s="25">
        <f>AW83+AX83</f>
        <v>0</v>
      </c>
      <c r="BD83" s="25">
        <f>G83/(100-BE83)*100</f>
        <v>0</v>
      </c>
      <c r="BE83" s="25">
        <v>0</v>
      </c>
      <c r="BF83" s="25">
        <f>83</f>
        <v>83</v>
      </c>
      <c r="BH83" s="25">
        <f>F83*AO83</f>
        <v>0</v>
      </c>
      <c r="BI83" s="25">
        <f>F83*AP83</f>
        <v>0</v>
      </c>
      <c r="BJ83" s="25">
        <f>F83*G83</f>
        <v>0</v>
      </c>
      <c r="BK83" s="25"/>
      <c r="BL83" s="25"/>
      <c r="BW83" s="25">
        <v>21</v>
      </c>
      <c r="BX83" s="5" t="s">
        <v>185</v>
      </c>
    </row>
    <row r="84" spans="1:76" x14ac:dyDescent="0.25">
      <c r="A84" s="28"/>
      <c r="C84" s="29" t="s">
        <v>54</v>
      </c>
      <c r="D84" s="29" t="s">
        <v>187</v>
      </c>
      <c r="F84" s="30">
        <v>1</v>
      </c>
      <c r="K84" s="31"/>
    </row>
    <row r="85" spans="1:76" x14ac:dyDescent="0.25">
      <c r="A85" s="32" t="s">
        <v>51</v>
      </c>
      <c r="B85" s="33" t="s">
        <v>188</v>
      </c>
      <c r="C85" s="95" t="s">
        <v>189</v>
      </c>
      <c r="D85" s="96"/>
      <c r="E85" s="34" t="s">
        <v>4</v>
      </c>
      <c r="F85" s="34" t="s">
        <v>4</v>
      </c>
      <c r="G85" s="34" t="s">
        <v>4</v>
      </c>
      <c r="H85" s="1">
        <f>SUM(H86:H90)</f>
        <v>0</v>
      </c>
      <c r="I85" s="1">
        <f>SUM(I86:I90)</f>
        <v>0</v>
      </c>
      <c r="J85" s="1">
        <f>SUM(J86:J90)</f>
        <v>0</v>
      </c>
      <c r="K85" s="35" t="s">
        <v>51</v>
      </c>
      <c r="AI85" s="11" t="s">
        <v>51</v>
      </c>
      <c r="AS85" s="1">
        <f>SUM(AJ86:AJ90)</f>
        <v>0</v>
      </c>
      <c r="AT85" s="1">
        <f>SUM(AK86:AK90)</f>
        <v>0</v>
      </c>
      <c r="AU85" s="1">
        <f>SUM(AL86:AL90)</f>
        <v>0</v>
      </c>
    </row>
    <row r="86" spans="1:76" x14ac:dyDescent="0.25">
      <c r="A86" s="2" t="s">
        <v>190</v>
      </c>
      <c r="B86" s="3" t="s">
        <v>191</v>
      </c>
      <c r="C86" s="79" t="s">
        <v>192</v>
      </c>
      <c r="D86" s="74"/>
      <c r="E86" s="3" t="s">
        <v>68</v>
      </c>
      <c r="F86" s="25">
        <v>1</v>
      </c>
      <c r="G86" s="25">
        <v>0</v>
      </c>
      <c r="H86" s="25">
        <f>F86*AO86</f>
        <v>0</v>
      </c>
      <c r="I86" s="25">
        <f>F86*AP86</f>
        <v>0</v>
      </c>
      <c r="J86" s="25">
        <f>F86*G86</f>
        <v>0</v>
      </c>
      <c r="K86" s="26" t="s">
        <v>58</v>
      </c>
      <c r="Z86" s="25">
        <f>IF(AQ86="5",BJ86,0)</f>
        <v>0</v>
      </c>
      <c r="AB86" s="25">
        <f>IF(AQ86="1",BH86,0)</f>
        <v>0</v>
      </c>
      <c r="AC86" s="25">
        <f>IF(AQ86="1",BI86,0)</f>
        <v>0</v>
      </c>
      <c r="AD86" s="25">
        <f>IF(AQ86="7",BH86,0)</f>
        <v>0</v>
      </c>
      <c r="AE86" s="25">
        <f>IF(AQ86="7",BI86,0)</f>
        <v>0</v>
      </c>
      <c r="AF86" s="25">
        <f>IF(AQ86="2",BH86,0)</f>
        <v>0</v>
      </c>
      <c r="AG86" s="25">
        <f>IF(AQ86="2",BI86,0)</f>
        <v>0</v>
      </c>
      <c r="AH86" s="25">
        <f>IF(AQ86="0",BJ86,0)</f>
        <v>0</v>
      </c>
      <c r="AI86" s="11" t="s">
        <v>51</v>
      </c>
      <c r="AJ86" s="25">
        <f>IF(AN86=0,J86,0)</f>
        <v>0</v>
      </c>
      <c r="AK86" s="25">
        <f>IF(AN86=12,J86,0)</f>
        <v>0</v>
      </c>
      <c r="AL86" s="25">
        <f>IF(AN86=21,J86,0)</f>
        <v>0</v>
      </c>
      <c r="AN86" s="25">
        <v>21</v>
      </c>
      <c r="AO86" s="25">
        <f>G86*0</f>
        <v>0</v>
      </c>
      <c r="AP86" s="25">
        <f>G86*(1-0)</f>
        <v>0</v>
      </c>
      <c r="AQ86" s="27" t="s">
        <v>65</v>
      </c>
      <c r="AV86" s="25">
        <f>AW86+AX86</f>
        <v>0</v>
      </c>
      <c r="AW86" s="25">
        <f>F86*AO86</f>
        <v>0</v>
      </c>
      <c r="AX86" s="25">
        <f>F86*AP86</f>
        <v>0</v>
      </c>
      <c r="AY86" s="27" t="s">
        <v>193</v>
      </c>
      <c r="AZ86" s="27" t="s">
        <v>70</v>
      </c>
      <c r="BA86" s="11" t="s">
        <v>61</v>
      </c>
      <c r="BC86" s="25">
        <f>AW86+AX86</f>
        <v>0</v>
      </c>
      <c r="BD86" s="25">
        <f>G86/(100-BE86)*100</f>
        <v>0</v>
      </c>
      <c r="BE86" s="25">
        <v>0</v>
      </c>
      <c r="BF86" s="25">
        <f>86</f>
        <v>86</v>
      </c>
      <c r="BH86" s="25">
        <f>F86*AO86</f>
        <v>0</v>
      </c>
      <c r="BI86" s="25">
        <f>F86*AP86</f>
        <v>0</v>
      </c>
      <c r="BJ86" s="25">
        <f>F86*G86</f>
        <v>0</v>
      </c>
      <c r="BK86" s="25"/>
      <c r="BL86" s="25"/>
      <c r="BW86" s="25">
        <v>21</v>
      </c>
      <c r="BX86" s="5" t="s">
        <v>192</v>
      </c>
    </row>
    <row r="87" spans="1:76" x14ac:dyDescent="0.25">
      <c r="A87" s="28"/>
      <c r="C87" s="29" t="s">
        <v>54</v>
      </c>
      <c r="D87" s="29" t="s">
        <v>51</v>
      </c>
      <c r="F87" s="30">
        <v>1</v>
      </c>
      <c r="K87" s="31"/>
    </row>
    <row r="88" spans="1:76" x14ac:dyDescent="0.25">
      <c r="A88" s="2" t="s">
        <v>194</v>
      </c>
      <c r="B88" s="3" t="s">
        <v>195</v>
      </c>
      <c r="C88" s="79" t="s">
        <v>196</v>
      </c>
      <c r="D88" s="74"/>
      <c r="E88" s="3" t="s">
        <v>68</v>
      </c>
      <c r="F88" s="25">
        <v>1</v>
      </c>
      <c r="G88" s="25">
        <v>0</v>
      </c>
      <c r="H88" s="25">
        <f>F88*AO88</f>
        <v>0</v>
      </c>
      <c r="I88" s="25">
        <f>F88*AP88</f>
        <v>0</v>
      </c>
      <c r="J88" s="25">
        <f>F88*G88</f>
        <v>0</v>
      </c>
      <c r="K88" s="26" t="s">
        <v>58</v>
      </c>
      <c r="Z88" s="25">
        <f>IF(AQ88="5",BJ88,0)</f>
        <v>0</v>
      </c>
      <c r="AB88" s="25">
        <f>IF(AQ88="1",BH88,0)</f>
        <v>0</v>
      </c>
      <c r="AC88" s="25">
        <f>IF(AQ88="1",BI88,0)</f>
        <v>0</v>
      </c>
      <c r="AD88" s="25">
        <f>IF(AQ88="7",BH88,0)</f>
        <v>0</v>
      </c>
      <c r="AE88" s="25">
        <f>IF(AQ88="7",BI88,0)</f>
        <v>0</v>
      </c>
      <c r="AF88" s="25">
        <f>IF(AQ88="2",BH88,0)</f>
        <v>0</v>
      </c>
      <c r="AG88" s="25">
        <f>IF(AQ88="2",BI88,0)</f>
        <v>0</v>
      </c>
      <c r="AH88" s="25">
        <f>IF(AQ88="0",BJ88,0)</f>
        <v>0</v>
      </c>
      <c r="AI88" s="11" t="s">
        <v>51</v>
      </c>
      <c r="AJ88" s="25">
        <f>IF(AN88=0,J88,0)</f>
        <v>0</v>
      </c>
      <c r="AK88" s="25">
        <f>IF(AN88=12,J88,0)</f>
        <v>0</v>
      </c>
      <c r="AL88" s="25">
        <f>IF(AN88=21,J88,0)</f>
        <v>0</v>
      </c>
      <c r="AN88" s="25">
        <v>21</v>
      </c>
      <c r="AO88" s="25">
        <f>G88*0</f>
        <v>0</v>
      </c>
      <c r="AP88" s="25">
        <f>G88*(1-0)</f>
        <v>0</v>
      </c>
      <c r="AQ88" s="27" t="s">
        <v>65</v>
      </c>
      <c r="AV88" s="25">
        <f>AW88+AX88</f>
        <v>0</v>
      </c>
      <c r="AW88" s="25">
        <f>F88*AO88</f>
        <v>0</v>
      </c>
      <c r="AX88" s="25">
        <f>F88*AP88</f>
        <v>0</v>
      </c>
      <c r="AY88" s="27" t="s">
        <v>193</v>
      </c>
      <c r="AZ88" s="27" t="s">
        <v>70</v>
      </c>
      <c r="BA88" s="11" t="s">
        <v>61</v>
      </c>
      <c r="BC88" s="25">
        <f>AW88+AX88</f>
        <v>0</v>
      </c>
      <c r="BD88" s="25">
        <f>G88/(100-BE88)*100</f>
        <v>0</v>
      </c>
      <c r="BE88" s="25">
        <v>0</v>
      </c>
      <c r="BF88" s="25">
        <f>88</f>
        <v>88</v>
      </c>
      <c r="BH88" s="25">
        <f>F88*AO88</f>
        <v>0</v>
      </c>
      <c r="BI88" s="25">
        <f>F88*AP88</f>
        <v>0</v>
      </c>
      <c r="BJ88" s="25">
        <f>F88*G88</f>
        <v>0</v>
      </c>
      <c r="BK88" s="25"/>
      <c r="BL88" s="25"/>
      <c r="BW88" s="25">
        <v>21</v>
      </c>
      <c r="BX88" s="5" t="s">
        <v>196</v>
      </c>
    </row>
    <row r="89" spans="1:76" x14ac:dyDescent="0.25">
      <c r="A89" s="28"/>
      <c r="C89" s="29" t="s">
        <v>54</v>
      </c>
      <c r="D89" s="29" t="s">
        <v>51</v>
      </c>
      <c r="F89" s="30">
        <v>1</v>
      </c>
      <c r="K89" s="31"/>
    </row>
    <row r="90" spans="1:76" x14ac:dyDescent="0.25">
      <c r="A90" s="2" t="s">
        <v>197</v>
      </c>
      <c r="B90" s="3" t="s">
        <v>198</v>
      </c>
      <c r="C90" s="79" t="s">
        <v>199</v>
      </c>
      <c r="D90" s="74"/>
      <c r="E90" s="3" t="s">
        <v>75</v>
      </c>
      <c r="F90" s="25">
        <v>16.2</v>
      </c>
      <c r="G90" s="25">
        <v>0</v>
      </c>
      <c r="H90" s="25">
        <f>F90*AO90</f>
        <v>0</v>
      </c>
      <c r="I90" s="25">
        <f>F90*AP90</f>
        <v>0</v>
      </c>
      <c r="J90" s="25">
        <f>F90*G90</f>
        <v>0</v>
      </c>
      <c r="K90" s="26" t="s">
        <v>58</v>
      </c>
      <c r="Z90" s="25">
        <f>IF(AQ90="5",BJ90,0)</f>
        <v>0</v>
      </c>
      <c r="AB90" s="25">
        <f>IF(AQ90="1",BH90,0)</f>
        <v>0</v>
      </c>
      <c r="AC90" s="25">
        <f>IF(AQ90="1",BI90,0)</f>
        <v>0</v>
      </c>
      <c r="AD90" s="25">
        <f>IF(AQ90="7",BH90,0)</f>
        <v>0</v>
      </c>
      <c r="AE90" s="25">
        <f>IF(AQ90="7",BI90,0)</f>
        <v>0</v>
      </c>
      <c r="AF90" s="25">
        <f>IF(AQ90="2",BH90,0)</f>
        <v>0</v>
      </c>
      <c r="AG90" s="25">
        <f>IF(AQ90="2",BI90,0)</f>
        <v>0</v>
      </c>
      <c r="AH90" s="25">
        <f>IF(AQ90="0",BJ90,0)</f>
        <v>0</v>
      </c>
      <c r="AI90" s="11" t="s">
        <v>51</v>
      </c>
      <c r="AJ90" s="25">
        <f>IF(AN90=0,J90,0)</f>
        <v>0</v>
      </c>
      <c r="AK90" s="25">
        <f>IF(AN90=12,J90,0)</f>
        <v>0</v>
      </c>
      <c r="AL90" s="25">
        <f>IF(AN90=21,J90,0)</f>
        <v>0</v>
      </c>
      <c r="AN90" s="25">
        <v>21</v>
      </c>
      <c r="AO90" s="25">
        <f>G90*0</f>
        <v>0</v>
      </c>
      <c r="AP90" s="25">
        <f>G90*(1-0)</f>
        <v>0</v>
      </c>
      <c r="AQ90" s="27" t="s">
        <v>65</v>
      </c>
      <c r="AV90" s="25">
        <f>AW90+AX90</f>
        <v>0</v>
      </c>
      <c r="AW90" s="25">
        <f>F90*AO90</f>
        <v>0</v>
      </c>
      <c r="AX90" s="25">
        <f>F90*AP90</f>
        <v>0</v>
      </c>
      <c r="AY90" s="27" t="s">
        <v>193</v>
      </c>
      <c r="AZ90" s="27" t="s">
        <v>70</v>
      </c>
      <c r="BA90" s="11" t="s">
        <v>61</v>
      </c>
      <c r="BC90" s="25">
        <f>AW90+AX90</f>
        <v>0</v>
      </c>
      <c r="BD90" s="25">
        <f>G90/(100-BE90)*100</f>
        <v>0</v>
      </c>
      <c r="BE90" s="25">
        <v>0</v>
      </c>
      <c r="BF90" s="25">
        <f>90</f>
        <v>90</v>
      </c>
      <c r="BH90" s="25">
        <f>F90*AO90</f>
        <v>0</v>
      </c>
      <c r="BI90" s="25">
        <f>F90*AP90</f>
        <v>0</v>
      </c>
      <c r="BJ90" s="25">
        <f>F90*G90</f>
        <v>0</v>
      </c>
      <c r="BK90" s="25"/>
      <c r="BL90" s="25"/>
      <c r="BW90" s="25">
        <v>21</v>
      </c>
      <c r="BX90" s="5" t="s">
        <v>199</v>
      </c>
    </row>
    <row r="91" spans="1:76" x14ac:dyDescent="0.25">
      <c r="A91" s="28"/>
      <c r="C91" s="29" t="s">
        <v>200</v>
      </c>
      <c r="D91" s="29" t="s">
        <v>97</v>
      </c>
      <c r="F91" s="30">
        <v>16.2</v>
      </c>
      <c r="K91" s="31"/>
    </row>
    <row r="92" spans="1:76" x14ac:dyDescent="0.25">
      <c r="A92" s="32" t="s">
        <v>51</v>
      </c>
      <c r="B92" s="33" t="s">
        <v>201</v>
      </c>
      <c r="C92" s="95" t="s">
        <v>202</v>
      </c>
      <c r="D92" s="96"/>
      <c r="E92" s="34" t="s">
        <v>4</v>
      </c>
      <c r="F92" s="34" t="s">
        <v>4</v>
      </c>
      <c r="G92" s="34" t="s">
        <v>4</v>
      </c>
      <c r="H92" s="1">
        <f>SUM(H93:H113)</f>
        <v>0</v>
      </c>
      <c r="I92" s="1">
        <f>SUM(I93:I113)</f>
        <v>0</v>
      </c>
      <c r="J92" s="1">
        <f>SUM(J93:J113)</f>
        <v>0</v>
      </c>
      <c r="K92" s="35" t="s">
        <v>51</v>
      </c>
      <c r="AI92" s="11" t="s">
        <v>51</v>
      </c>
      <c r="AS92" s="1">
        <f>SUM(AJ93:AJ113)</f>
        <v>0</v>
      </c>
      <c r="AT92" s="1">
        <f>SUM(AK93:AK113)</f>
        <v>0</v>
      </c>
      <c r="AU92" s="1">
        <f>SUM(AL93:AL113)</f>
        <v>0</v>
      </c>
    </row>
    <row r="93" spans="1:76" x14ac:dyDescent="0.25">
      <c r="A93" s="2" t="s">
        <v>203</v>
      </c>
      <c r="B93" s="3" t="s">
        <v>204</v>
      </c>
      <c r="C93" s="79" t="s">
        <v>205</v>
      </c>
      <c r="D93" s="74"/>
      <c r="E93" s="3" t="s">
        <v>57</v>
      </c>
      <c r="F93" s="25">
        <v>8</v>
      </c>
      <c r="G93" s="25">
        <v>0</v>
      </c>
      <c r="H93" s="25">
        <f>F93*AO93</f>
        <v>0</v>
      </c>
      <c r="I93" s="25">
        <f>F93*AP93</f>
        <v>0</v>
      </c>
      <c r="J93" s="25">
        <f>F93*G93</f>
        <v>0</v>
      </c>
      <c r="K93" s="26" t="s">
        <v>58</v>
      </c>
      <c r="Z93" s="25">
        <f>IF(AQ93="5",BJ93,0)</f>
        <v>0</v>
      </c>
      <c r="AB93" s="25">
        <f>IF(AQ93="1",BH93,0)</f>
        <v>0</v>
      </c>
      <c r="AC93" s="25">
        <f>IF(AQ93="1",BI93,0)</f>
        <v>0</v>
      </c>
      <c r="AD93" s="25">
        <f>IF(AQ93="7",BH93,0)</f>
        <v>0</v>
      </c>
      <c r="AE93" s="25">
        <f>IF(AQ93="7",BI93,0)</f>
        <v>0</v>
      </c>
      <c r="AF93" s="25">
        <f>IF(AQ93="2",BH93,0)</f>
        <v>0</v>
      </c>
      <c r="AG93" s="25">
        <f>IF(AQ93="2",BI93,0)</f>
        <v>0</v>
      </c>
      <c r="AH93" s="25">
        <f>IF(AQ93="0",BJ93,0)</f>
        <v>0</v>
      </c>
      <c r="AI93" s="11" t="s">
        <v>51</v>
      </c>
      <c r="AJ93" s="25">
        <f>IF(AN93=0,J93,0)</f>
        <v>0</v>
      </c>
      <c r="AK93" s="25">
        <f>IF(AN93=12,J93,0)</f>
        <v>0</v>
      </c>
      <c r="AL93" s="25">
        <f>IF(AN93=21,J93,0)</f>
        <v>0</v>
      </c>
      <c r="AN93" s="25">
        <v>21</v>
      </c>
      <c r="AO93" s="25">
        <f>G93*0</f>
        <v>0</v>
      </c>
      <c r="AP93" s="25">
        <f>G93*(1-0)</f>
        <v>0</v>
      </c>
      <c r="AQ93" s="27" t="s">
        <v>65</v>
      </c>
      <c r="AV93" s="25">
        <f>AW93+AX93</f>
        <v>0</v>
      </c>
      <c r="AW93" s="25">
        <f>F93*AO93</f>
        <v>0</v>
      </c>
      <c r="AX93" s="25">
        <f>F93*AP93</f>
        <v>0</v>
      </c>
      <c r="AY93" s="27" t="s">
        <v>206</v>
      </c>
      <c r="AZ93" s="27" t="s">
        <v>70</v>
      </c>
      <c r="BA93" s="11" t="s">
        <v>61</v>
      </c>
      <c r="BC93" s="25">
        <f>AW93+AX93</f>
        <v>0</v>
      </c>
      <c r="BD93" s="25">
        <f>G93/(100-BE93)*100</f>
        <v>0</v>
      </c>
      <c r="BE93" s="25">
        <v>0</v>
      </c>
      <c r="BF93" s="25">
        <f>93</f>
        <v>93</v>
      </c>
      <c r="BH93" s="25">
        <f>F93*AO93</f>
        <v>0</v>
      </c>
      <c r="BI93" s="25">
        <f>F93*AP93</f>
        <v>0</v>
      </c>
      <c r="BJ93" s="25">
        <f>F93*G93</f>
        <v>0</v>
      </c>
      <c r="BK93" s="25"/>
      <c r="BL93" s="25"/>
      <c r="BW93" s="25">
        <v>21</v>
      </c>
      <c r="BX93" s="5" t="s">
        <v>205</v>
      </c>
    </row>
    <row r="94" spans="1:76" x14ac:dyDescent="0.25">
      <c r="A94" s="28"/>
      <c r="C94" s="29" t="s">
        <v>94</v>
      </c>
      <c r="D94" s="29" t="s">
        <v>51</v>
      </c>
      <c r="F94" s="30">
        <v>8</v>
      </c>
      <c r="K94" s="31"/>
    </row>
    <row r="95" spans="1:76" x14ac:dyDescent="0.25">
      <c r="A95" s="2" t="s">
        <v>207</v>
      </c>
      <c r="B95" s="3" t="s">
        <v>208</v>
      </c>
      <c r="C95" s="79" t="s">
        <v>209</v>
      </c>
      <c r="D95" s="74"/>
      <c r="E95" s="3" t="s">
        <v>68</v>
      </c>
      <c r="F95" s="25">
        <v>2</v>
      </c>
      <c r="G95" s="25">
        <v>0</v>
      </c>
      <c r="H95" s="25">
        <f>F95*AO95</f>
        <v>0</v>
      </c>
      <c r="I95" s="25">
        <f>F95*AP95</f>
        <v>0</v>
      </c>
      <c r="J95" s="25">
        <f>F95*G95</f>
        <v>0</v>
      </c>
      <c r="K95" s="26" t="s">
        <v>58</v>
      </c>
      <c r="Z95" s="25">
        <f>IF(AQ95="5",BJ95,0)</f>
        <v>0</v>
      </c>
      <c r="AB95" s="25">
        <f>IF(AQ95="1",BH95,0)</f>
        <v>0</v>
      </c>
      <c r="AC95" s="25">
        <f>IF(AQ95="1",BI95,0)</f>
        <v>0</v>
      </c>
      <c r="AD95" s="25">
        <f>IF(AQ95="7",BH95,0)</f>
        <v>0</v>
      </c>
      <c r="AE95" s="25">
        <f>IF(AQ95="7",BI95,0)</f>
        <v>0</v>
      </c>
      <c r="AF95" s="25">
        <f>IF(AQ95="2",BH95,0)</f>
        <v>0</v>
      </c>
      <c r="AG95" s="25">
        <f>IF(AQ95="2",BI95,0)</f>
        <v>0</v>
      </c>
      <c r="AH95" s="25">
        <f>IF(AQ95="0",BJ95,0)</f>
        <v>0</v>
      </c>
      <c r="AI95" s="11" t="s">
        <v>51</v>
      </c>
      <c r="AJ95" s="25">
        <f>IF(AN95=0,J95,0)</f>
        <v>0</v>
      </c>
      <c r="AK95" s="25">
        <f>IF(AN95=12,J95,0)</f>
        <v>0</v>
      </c>
      <c r="AL95" s="25">
        <f>IF(AN95=21,J95,0)</f>
        <v>0</v>
      </c>
      <c r="AN95" s="25">
        <v>21</v>
      </c>
      <c r="AO95" s="25">
        <f>G95*0</f>
        <v>0</v>
      </c>
      <c r="AP95" s="25">
        <f>G95*(1-0)</f>
        <v>0</v>
      </c>
      <c r="AQ95" s="27" t="s">
        <v>65</v>
      </c>
      <c r="AV95" s="25">
        <f>AW95+AX95</f>
        <v>0</v>
      </c>
      <c r="AW95" s="25">
        <f>F95*AO95</f>
        <v>0</v>
      </c>
      <c r="AX95" s="25">
        <f>F95*AP95</f>
        <v>0</v>
      </c>
      <c r="AY95" s="27" t="s">
        <v>206</v>
      </c>
      <c r="AZ95" s="27" t="s">
        <v>70</v>
      </c>
      <c r="BA95" s="11" t="s">
        <v>61</v>
      </c>
      <c r="BC95" s="25">
        <f>AW95+AX95</f>
        <v>0</v>
      </c>
      <c r="BD95" s="25">
        <f>G95/(100-BE95)*100</f>
        <v>0</v>
      </c>
      <c r="BE95" s="25">
        <v>0</v>
      </c>
      <c r="BF95" s="25">
        <f>95</f>
        <v>95</v>
      </c>
      <c r="BH95" s="25">
        <f>F95*AO95</f>
        <v>0</v>
      </c>
      <c r="BI95" s="25">
        <f>F95*AP95</f>
        <v>0</v>
      </c>
      <c r="BJ95" s="25">
        <f>F95*G95</f>
        <v>0</v>
      </c>
      <c r="BK95" s="25"/>
      <c r="BL95" s="25"/>
      <c r="BW95" s="25">
        <v>21</v>
      </c>
      <c r="BX95" s="5" t="s">
        <v>209</v>
      </c>
    </row>
    <row r="96" spans="1:76" x14ac:dyDescent="0.25">
      <c r="A96" s="28"/>
      <c r="C96" s="29" t="s">
        <v>65</v>
      </c>
      <c r="D96" s="29" t="s">
        <v>51</v>
      </c>
      <c r="F96" s="30">
        <v>2</v>
      </c>
      <c r="K96" s="31"/>
    </row>
    <row r="97" spans="1:76" x14ac:dyDescent="0.25">
      <c r="A97" s="2" t="s">
        <v>210</v>
      </c>
      <c r="B97" s="3" t="s">
        <v>211</v>
      </c>
      <c r="C97" s="79" t="s">
        <v>212</v>
      </c>
      <c r="D97" s="74"/>
      <c r="E97" s="3" t="s">
        <v>68</v>
      </c>
      <c r="F97" s="25">
        <v>2</v>
      </c>
      <c r="G97" s="25">
        <v>0</v>
      </c>
      <c r="H97" s="25">
        <f>F97*AO97</f>
        <v>0</v>
      </c>
      <c r="I97" s="25">
        <f>F97*AP97</f>
        <v>0</v>
      </c>
      <c r="J97" s="25">
        <f>F97*G97</f>
        <v>0</v>
      </c>
      <c r="K97" s="26" t="s">
        <v>58</v>
      </c>
      <c r="Z97" s="25">
        <f>IF(AQ97="5",BJ97,0)</f>
        <v>0</v>
      </c>
      <c r="AB97" s="25">
        <f>IF(AQ97="1",BH97,0)</f>
        <v>0</v>
      </c>
      <c r="AC97" s="25">
        <f>IF(AQ97="1",BI97,0)</f>
        <v>0</v>
      </c>
      <c r="AD97" s="25">
        <f>IF(AQ97="7",BH97,0)</f>
        <v>0</v>
      </c>
      <c r="AE97" s="25">
        <f>IF(AQ97="7",BI97,0)</f>
        <v>0</v>
      </c>
      <c r="AF97" s="25">
        <f>IF(AQ97="2",BH97,0)</f>
        <v>0</v>
      </c>
      <c r="AG97" s="25">
        <f>IF(AQ97="2",BI97,0)</f>
        <v>0</v>
      </c>
      <c r="AH97" s="25">
        <f>IF(AQ97="0",BJ97,0)</f>
        <v>0</v>
      </c>
      <c r="AI97" s="11" t="s">
        <v>51</v>
      </c>
      <c r="AJ97" s="25">
        <f>IF(AN97=0,J97,0)</f>
        <v>0</v>
      </c>
      <c r="AK97" s="25">
        <f>IF(AN97=12,J97,0)</f>
        <v>0</v>
      </c>
      <c r="AL97" s="25">
        <f>IF(AN97=21,J97,0)</f>
        <v>0</v>
      </c>
      <c r="AN97" s="25">
        <v>21</v>
      </c>
      <c r="AO97" s="25">
        <f>G97*0</f>
        <v>0</v>
      </c>
      <c r="AP97" s="25">
        <f>G97*(1-0)</f>
        <v>0</v>
      </c>
      <c r="AQ97" s="27" t="s">
        <v>65</v>
      </c>
      <c r="AV97" s="25">
        <f>AW97+AX97</f>
        <v>0</v>
      </c>
      <c r="AW97" s="25">
        <f>F97*AO97</f>
        <v>0</v>
      </c>
      <c r="AX97" s="25">
        <f>F97*AP97</f>
        <v>0</v>
      </c>
      <c r="AY97" s="27" t="s">
        <v>206</v>
      </c>
      <c r="AZ97" s="27" t="s">
        <v>70</v>
      </c>
      <c r="BA97" s="11" t="s">
        <v>61</v>
      </c>
      <c r="BC97" s="25">
        <f>AW97+AX97</f>
        <v>0</v>
      </c>
      <c r="BD97" s="25">
        <f>G97/(100-BE97)*100</f>
        <v>0</v>
      </c>
      <c r="BE97" s="25">
        <v>0</v>
      </c>
      <c r="BF97" s="25">
        <f>97</f>
        <v>97</v>
      </c>
      <c r="BH97" s="25">
        <f>F97*AO97</f>
        <v>0</v>
      </c>
      <c r="BI97" s="25">
        <f>F97*AP97</f>
        <v>0</v>
      </c>
      <c r="BJ97" s="25">
        <f>F97*G97</f>
        <v>0</v>
      </c>
      <c r="BK97" s="25"/>
      <c r="BL97" s="25"/>
      <c r="BW97" s="25">
        <v>21</v>
      </c>
      <c r="BX97" s="5" t="s">
        <v>212</v>
      </c>
    </row>
    <row r="98" spans="1:76" x14ac:dyDescent="0.25">
      <c r="A98" s="28"/>
      <c r="C98" s="29" t="s">
        <v>65</v>
      </c>
      <c r="D98" s="29" t="s">
        <v>51</v>
      </c>
      <c r="F98" s="30">
        <v>2</v>
      </c>
      <c r="K98" s="31"/>
    </row>
    <row r="99" spans="1:76" x14ac:dyDescent="0.25">
      <c r="A99" s="2" t="s">
        <v>213</v>
      </c>
      <c r="B99" s="3" t="s">
        <v>214</v>
      </c>
      <c r="C99" s="79" t="s">
        <v>215</v>
      </c>
      <c r="D99" s="74"/>
      <c r="E99" s="3" t="s">
        <v>57</v>
      </c>
      <c r="F99" s="25">
        <v>4</v>
      </c>
      <c r="G99" s="25">
        <v>0</v>
      </c>
      <c r="H99" s="25">
        <f>F99*AO99</f>
        <v>0</v>
      </c>
      <c r="I99" s="25">
        <f>F99*AP99</f>
        <v>0</v>
      </c>
      <c r="J99" s="25">
        <f>F99*G99</f>
        <v>0</v>
      </c>
      <c r="K99" s="26" t="s">
        <v>58</v>
      </c>
      <c r="Z99" s="25">
        <f>IF(AQ99="5",BJ99,0)</f>
        <v>0</v>
      </c>
      <c r="AB99" s="25">
        <f>IF(AQ99="1",BH99,0)</f>
        <v>0</v>
      </c>
      <c r="AC99" s="25">
        <f>IF(AQ99="1",BI99,0)</f>
        <v>0</v>
      </c>
      <c r="AD99" s="25">
        <f>IF(AQ99="7",BH99,0)</f>
        <v>0</v>
      </c>
      <c r="AE99" s="25">
        <f>IF(AQ99="7",BI99,0)</f>
        <v>0</v>
      </c>
      <c r="AF99" s="25">
        <f>IF(AQ99="2",BH99,0)</f>
        <v>0</v>
      </c>
      <c r="AG99" s="25">
        <f>IF(AQ99="2",BI99,0)</f>
        <v>0</v>
      </c>
      <c r="AH99" s="25">
        <f>IF(AQ99="0",BJ99,0)</f>
        <v>0</v>
      </c>
      <c r="AI99" s="11" t="s">
        <v>51</v>
      </c>
      <c r="AJ99" s="25">
        <f>IF(AN99=0,J99,0)</f>
        <v>0</v>
      </c>
      <c r="AK99" s="25">
        <f>IF(AN99=12,J99,0)</f>
        <v>0</v>
      </c>
      <c r="AL99" s="25">
        <f>IF(AN99=21,J99,0)</f>
        <v>0</v>
      </c>
      <c r="AN99" s="25">
        <v>21</v>
      </c>
      <c r="AO99" s="25">
        <f>G99*0</f>
        <v>0</v>
      </c>
      <c r="AP99" s="25">
        <f>G99*(1-0)</f>
        <v>0</v>
      </c>
      <c r="AQ99" s="27" t="s">
        <v>65</v>
      </c>
      <c r="AV99" s="25">
        <f>AW99+AX99</f>
        <v>0</v>
      </c>
      <c r="AW99" s="25">
        <f>F99*AO99</f>
        <v>0</v>
      </c>
      <c r="AX99" s="25">
        <f>F99*AP99</f>
        <v>0</v>
      </c>
      <c r="AY99" s="27" t="s">
        <v>206</v>
      </c>
      <c r="AZ99" s="27" t="s">
        <v>70</v>
      </c>
      <c r="BA99" s="11" t="s">
        <v>61</v>
      </c>
      <c r="BC99" s="25">
        <f>AW99+AX99</f>
        <v>0</v>
      </c>
      <c r="BD99" s="25">
        <f>G99/(100-BE99)*100</f>
        <v>0</v>
      </c>
      <c r="BE99" s="25">
        <v>0</v>
      </c>
      <c r="BF99" s="25">
        <f>99</f>
        <v>99</v>
      </c>
      <c r="BH99" s="25">
        <f>F99*AO99</f>
        <v>0</v>
      </c>
      <c r="BI99" s="25">
        <f>F99*AP99</f>
        <v>0</v>
      </c>
      <c r="BJ99" s="25">
        <f>F99*G99</f>
        <v>0</v>
      </c>
      <c r="BK99" s="25"/>
      <c r="BL99" s="25"/>
      <c r="BW99" s="25">
        <v>21</v>
      </c>
      <c r="BX99" s="5" t="s">
        <v>215</v>
      </c>
    </row>
    <row r="100" spans="1:76" x14ac:dyDescent="0.25">
      <c r="A100" s="28"/>
      <c r="C100" s="29" t="s">
        <v>77</v>
      </c>
      <c r="D100" s="29" t="s">
        <v>51</v>
      </c>
      <c r="F100" s="30">
        <v>4</v>
      </c>
      <c r="K100" s="31"/>
    </row>
    <row r="101" spans="1:76" x14ac:dyDescent="0.25">
      <c r="A101" s="2" t="s">
        <v>216</v>
      </c>
      <c r="B101" s="3" t="s">
        <v>217</v>
      </c>
      <c r="C101" s="79" t="s">
        <v>218</v>
      </c>
      <c r="D101" s="74"/>
      <c r="E101" s="3" t="s">
        <v>75</v>
      </c>
      <c r="F101" s="25">
        <v>92.9</v>
      </c>
      <c r="G101" s="25">
        <v>0</v>
      </c>
      <c r="H101" s="25">
        <f>F101*AO101</f>
        <v>0</v>
      </c>
      <c r="I101" s="25">
        <f>F101*AP101</f>
        <v>0</v>
      </c>
      <c r="J101" s="25">
        <f>F101*G101</f>
        <v>0</v>
      </c>
      <c r="K101" s="26" t="s">
        <v>58</v>
      </c>
      <c r="Z101" s="25">
        <f>IF(AQ101="5",BJ101,0)</f>
        <v>0</v>
      </c>
      <c r="AB101" s="25">
        <f>IF(AQ101="1",BH101,0)</f>
        <v>0</v>
      </c>
      <c r="AC101" s="25">
        <f>IF(AQ101="1",BI101,0)</f>
        <v>0</v>
      </c>
      <c r="AD101" s="25">
        <f>IF(AQ101="7",BH101,0)</f>
        <v>0</v>
      </c>
      <c r="AE101" s="25">
        <f>IF(AQ101="7",BI101,0)</f>
        <v>0</v>
      </c>
      <c r="AF101" s="25">
        <f>IF(AQ101="2",BH101,0)</f>
        <v>0</v>
      </c>
      <c r="AG101" s="25">
        <f>IF(AQ101="2",BI101,0)</f>
        <v>0</v>
      </c>
      <c r="AH101" s="25">
        <f>IF(AQ101="0",BJ101,0)</f>
        <v>0</v>
      </c>
      <c r="AI101" s="11" t="s">
        <v>51</v>
      </c>
      <c r="AJ101" s="25">
        <f>IF(AN101=0,J101,0)</f>
        <v>0</v>
      </c>
      <c r="AK101" s="25">
        <f>IF(AN101=12,J101,0)</f>
        <v>0</v>
      </c>
      <c r="AL101" s="25">
        <f>IF(AN101=21,J101,0)</f>
        <v>0</v>
      </c>
      <c r="AN101" s="25">
        <v>21</v>
      </c>
      <c r="AO101" s="25">
        <f>G101*0</f>
        <v>0</v>
      </c>
      <c r="AP101" s="25">
        <f>G101*(1-0)</f>
        <v>0</v>
      </c>
      <c r="AQ101" s="27" t="s">
        <v>65</v>
      </c>
      <c r="AV101" s="25">
        <f>AW101+AX101</f>
        <v>0</v>
      </c>
      <c r="AW101" s="25">
        <f>F101*AO101</f>
        <v>0</v>
      </c>
      <c r="AX101" s="25">
        <f>F101*AP101</f>
        <v>0</v>
      </c>
      <c r="AY101" s="27" t="s">
        <v>206</v>
      </c>
      <c r="AZ101" s="27" t="s">
        <v>70</v>
      </c>
      <c r="BA101" s="11" t="s">
        <v>61</v>
      </c>
      <c r="BC101" s="25">
        <f>AW101+AX101</f>
        <v>0</v>
      </c>
      <c r="BD101" s="25">
        <f>G101/(100-BE101)*100</f>
        <v>0</v>
      </c>
      <c r="BE101" s="25">
        <v>0</v>
      </c>
      <c r="BF101" s="25">
        <f>101</f>
        <v>101</v>
      </c>
      <c r="BH101" s="25">
        <f>F101*AO101</f>
        <v>0</v>
      </c>
      <c r="BI101" s="25">
        <f>F101*AP101</f>
        <v>0</v>
      </c>
      <c r="BJ101" s="25">
        <f>F101*G101</f>
        <v>0</v>
      </c>
      <c r="BK101" s="25"/>
      <c r="BL101" s="25"/>
      <c r="BW101" s="25">
        <v>21</v>
      </c>
      <c r="BX101" s="5" t="s">
        <v>218</v>
      </c>
    </row>
    <row r="102" spans="1:76" x14ac:dyDescent="0.25">
      <c r="A102" s="28"/>
      <c r="C102" s="29" t="s">
        <v>219</v>
      </c>
      <c r="D102" s="29" t="s">
        <v>187</v>
      </c>
      <c r="F102" s="30">
        <v>92.9</v>
      </c>
      <c r="K102" s="31"/>
    </row>
    <row r="103" spans="1:76" x14ac:dyDescent="0.25">
      <c r="A103" s="2" t="s">
        <v>220</v>
      </c>
      <c r="B103" s="3" t="s">
        <v>221</v>
      </c>
      <c r="C103" s="79" t="s">
        <v>222</v>
      </c>
      <c r="D103" s="74"/>
      <c r="E103" s="3" t="s">
        <v>68</v>
      </c>
      <c r="F103" s="25">
        <v>42</v>
      </c>
      <c r="G103" s="25">
        <v>0</v>
      </c>
      <c r="H103" s="25">
        <f>F103*AO103</f>
        <v>0</v>
      </c>
      <c r="I103" s="25">
        <f>F103*AP103</f>
        <v>0</v>
      </c>
      <c r="J103" s="25">
        <f>F103*G103</f>
        <v>0</v>
      </c>
      <c r="K103" s="26" t="s">
        <v>58</v>
      </c>
      <c r="Z103" s="25">
        <f>IF(AQ103="5",BJ103,0)</f>
        <v>0</v>
      </c>
      <c r="AB103" s="25">
        <f>IF(AQ103="1",BH103,0)</f>
        <v>0</v>
      </c>
      <c r="AC103" s="25">
        <f>IF(AQ103="1",BI103,0)</f>
        <v>0</v>
      </c>
      <c r="AD103" s="25">
        <f>IF(AQ103="7",BH103,0)</f>
        <v>0</v>
      </c>
      <c r="AE103" s="25">
        <f>IF(AQ103="7",BI103,0)</f>
        <v>0</v>
      </c>
      <c r="AF103" s="25">
        <f>IF(AQ103="2",BH103,0)</f>
        <v>0</v>
      </c>
      <c r="AG103" s="25">
        <f>IF(AQ103="2",BI103,0)</f>
        <v>0</v>
      </c>
      <c r="AH103" s="25">
        <f>IF(AQ103="0",BJ103,0)</f>
        <v>0</v>
      </c>
      <c r="AI103" s="11" t="s">
        <v>51</v>
      </c>
      <c r="AJ103" s="25">
        <f>IF(AN103=0,J103,0)</f>
        <v>0</v>
      </c>
      <c r="AK103" s="25">
        <f>IF(AN103=12,J103,0)</f>
        <v>0</v>
      </c>
      <c r="AL103" s="25">
        <f>IF(AN103=21,J103,0)</f>
        <v>0</v>
      </c>
      <c r="AN103" s="25">
        <v>21</v>
      </c>
      <c r="AO103" s="25">
        <f>G103*0</f>
        <v>0</v>
      </c>
      <c r="AP103" s="25">
        <f>G103*(1-0)</f>
        <v>0</v>
      </c>
      <c r="AQ103" s="27" t="s">
        <v>65</v>
      </c>
      <c r="AV103" s="25">
        <f>AW103+AX103</f>
        <v>0</v>
      </c>
      <c r="AW103" s="25">
        <f>F103*AO103</f>
        <v>0</v>
      </c>
      <c r="AX103" s="25">
        <f>F103*AP103</f>
        <v>0</v>
      </c>
      <c r="AY103" s="27" t="s">
        <v>206</v>
      </c>
      <c r="AZ103" s="27" t="s">
        <v>70</v>
      </c>
      <c r="BA103" s="11" t="s">
        <v>61</v>
      </c>
      <c r="BC103" s="25">
        <f>AW103+AX103</f>
        <v>0</v>
      </c>
      <c r="BD103" s="25">
        <f>G103/(100-BE103)*100</f>
        <v>0</v>
      </c>
      <c r="BE103" s="25">
        <v>0</v>
      </c>
      <c r="BF103" s="25">
        <f>103</f>
        <v>103</v>
      </c>
      <c r="BH103" s="25">
        <f>F103*AO103</f>
        <v>0</v>
      </c>
      <c r="BI103" s="25">
        <f>F103*AP103</f>
        <v>0</v>
      </c>
      <c r="BJ103" s="25">
        <f>F103*G103</f>
        <v>0</v>
      </c>
      <c r="BK103" s="25"/>
      <c r="BL103" s="25"/>
      <c r="BW103" s="25">
        <v>21</v>
      </c>
      <c r="BX103" s="5" t="s">
        <v>222</v>
      </c>
    </row>
    <row r="104" spans="1:76" x14ac:dyDescent="0.25">
      <c r="A104" s="28"/>
      <c r="C104" s="29" t="s">
        <v>213</v>
      </c>
      <c r="D104" s="29" t="s">
        <v>51</v>
      </c>
      <c r="F104" s="30">
        <v>42</v>
      </c>
      <c r="K104" s="31"/>
    </row>
    <row r="105" spans="1:76" x14ac:dyDescent="0.25">
      <c r="A105" s="2" t="s">
        <v>223</v>
      </c>
      <c r="B105" s="3" t="s">
        <v>224</v>
      </c>
      <c r="C105" s="79" t="s">
        <v>225</v>
      </c>
      <c r="D105" s="74"/>
      <c r="E105" s="3" t="s">
        <v>68</v>
      </c>
      <c r="F105" s="25">
        <v>18</v>
      </c>
      <c r="G105" s="25">
        <v>0</v>
      </c>
      <c r="H105" s="25">
        <f>F105*AO105</f>
        <v>0</v>
      </c>
      <c r="I105" s="25">
        <f>F105*AP105</f>
        <v>0</v>
      </c>
      <c r="J105" s="25">
        <f>F105*G105</f>
        <v>0</v>
      </c>
      <c r="K105" s="26" t="s">
        <v>58</v>
      </c>
      <c r="Z105" s="25">
        <f>IF(AQ105="5",BJ105,0)</f>
        <v>0</v>
      </c>
      <c r="AB105" s="25">
        <f>IF(AQ105="1",BH105,0)</f>
        <v>0</v>
      </c>
      <c r="AC105" s="25">
        <f>IF(AQ105="1",BI105,0)</f>
        <v>0</v>
      </c>
      <c r="AD105" s="25">
        <f>IF(AQ105="7",BH105,0)</f>
        <v>0</v>
      </c>
      <c r="AE105" s="25">
        <f>IF(AQ105="7",BI105,0)</f>
        <v>0</v>
      </c>
      <c r="AF105" s="25">
        <f>IF(AQ105="2",BH105,0)</f>
        <v>0</v>
      </c>
      <c r="AG105" s="25">
        <f>IF(AQ105="2",BI105,0)</f>
        <v>0</v>
      </c>
      <c r="AH105" s="25">
        <f>IF(AQ105="0",BJ105,0)</f>
        <v>0</v>
      </c>
      <c r="AI105" s="11" t="s">
        <v>51</v>
      </c>
      <c r="AJ105" s="25">
        <f>IF(AN105=0,J105,0)</f>
        <v>0</v>
      </c>
      <c r="AK105" s="25">
        <f>IF(AN105=12,J105,0)</f>
        <v>0</v>
      </c>
      <c r="AL105" s="25">
        <f>IF(AN105=21,J105,0)</f>
        <v>0</v>
      </c>
      <c r="AN105" s="25">
        <v>21</v>
      </c>
      <c r="AO105" s="25">
        <f>G105*1</f>
        <v>0</v>
      </c>
      <c r="AP105" s="25">
        <f>G105*(1-1)</f>
        <v>0</v>
      </c>
      <c r="AQ105" s="27" t="s">
        <v>54</v>
      </c>
      <c r="AV105" s="25">
        <f>AW105+AX105</f>
        <v>0</v>
      </c>
      <c r="AW105" s="25">
        <f>F105*AO105</f>
        <v>0</v>
      </c>
      <c r="AX105" s="25">
        <f>F105*AP105</f>
        <v>0</v>
      </c>
      <c r="AY105" s="27" t="s">
        <v>206</v>
      </c>
      <c r="AZ105" s="27" t="s">
        <v>70</v>
      </c>
      <c r="BA105" s="11" t="s">
        <v>61</v>
      </c>
      <c r="BC105" s="25">
        <f>AW105+AX105</f>
        <v>0</v>
      </c>
      <c r="BD105" s="25">
        <f>G105/(100-BE105)*100</f>
        <v>0</v>
      </c>
      <c r="BE105" s="25">
        <v>0</v>
      </c>
      <c r="BF105" s="25">
        <f>105</f>
        <v>105</v>
      </c>
      <c r="BH105" s="25">
        <f>F105*AO105</f>
        <v>0</v>
      </c>
      <c r="BI105" s="25">
        <f>F105*AP105</f>
        <v>0</v>
      </c>
      <c r="BJ105" s="25">
        <f>F105*G105</f>
        <v>0</v>
      </c>
      <c r="BK105" s="25"/>
      <c r="BL105" s="25"/>
      <c r="BW105" s="25">
        <v>21</v>
      </c>
      <c r="BX105" s="5" t="s">
        <v>225</v>
      </c>
    </row>
    <row r="106" spans="1:76" x14ac:dyDescent="0.25">
      <c r="A106" s="28"/>
      <c r="C106" s="29" t="s">
        <v>128</v>
      </c>
      <c r="D106" s="29" t="s">
        <v>51</v>
      </c>
      <c r="F106" s="30">
        <v>18</v>
      </c>
      <c r="K106" s="31"/>
    </row>
    <row r="107" spans="1:76" x14ac:dyDescent="0.25">
      <c r="A107" s="2" t="s">
        <v>226</v>
      </c>
      <c r="B107" s="3" t="s">
        <v>227</v>
      </c>
      <c r="C107" s="79" t="s">
        <v>228</v>
      </c>
      <c r="D107" s="74"/>
      <c r="E107" s="3" t="s">
        <v>57</v>
      </c>
      <c r="F107" s="25">
        <v>2</v>
      </c>
      <c r="G107" s="25">
        <v>0</v>
      </c>
      <c r="H107" s="25">
        <f>F107*AO107</f>
        <v>0</v>
      </c>
      <c r="I107" s="25">
        <f>F107*AP107</f>
        <v>0</v>
      </c>
      <c r="J107" s="25">
        <f>F107*G107</f>
        <v>0</v>
      </c>
      <c r="K107" s="26" t="s">
        <v>58</v>
      </c>
      <c r="Z107" s="25">
        <f>IF(AQ107="5",BJ107,0)</f>
        <v>0</v>
      </c>
      <c r="AB107" s="25">
        <f>IF(AQ107="1",BH107,0)</f>
        <v>0</v>
      </c>
      <c r="AC107" s="25">
        <f>IF(AQ107="1",BI107,0)</f>
        <v>0</v>
      </c>
      <c r="AD107" s="25">
        <f>IF(AQ107="7",BH107,0)</f>
        <v>0</v>
      </c>
      <c r="AE107" s="25">
        <f>IF(AQ107="7",BI107,0)</f>
        <v>0</v>
      </c>
      <c r="AF107" s="25">
        <f>IF(AQ107="2",BH107,0)</f>
        <v>0</v>
      </c>
      <c r="AG107" s="25">
        <f>IF(AQ107="2",BI107,0)</f>
        <v>0</v>
      </c>
      <c r="AH107" s="25">
        <f>IF(AQ107="0",BJ107,0)</f>
        <v>0</v>
      </c>
      <c r="AI107" s="11" t="s">
        <v>51</v>
      </c>
      <c r="AJ107" s="25">
        <f>IF(AN107=0,J107,0)</f>
        <v>0</v>
      </c>
      <c r="AK107" s="25">
        <f>IF(AN107=12,J107,0)</f>
        <v>0</v>
      </c>
      <c r="AL107" s="25">
        <f>IF(AN107=21,J107,0)</f>
        <v>0</v>
      </c>
      <c r="AN107" s="25">
        <v>21</v>
      </c>
      <c r="AO107" s="25">
        <f>G107*0</f>
        <v>0</v>
      </c>
      <c r="AP107" s="25">
        <f>G107*(1-0)</f>
        <v>0</v>
      </c>
      <c r="AQ107" s="27" t="s">
        <v>65</v>
      </c>
      <c r="AV107" s="25">
        <f>AW107+AX107</f>
        <v>0</v>
      </c>
      <c r="AW107" s="25">
        <f>F107*AO107</f>
        <v>0</v>
      </c>
      <c r="AX107" s="25">
        <f>F107*AP107</f>
        <v>0</v>
      </c>
      <c r="AY107" s="27" t="s">
        <v>206</v>
      </c>
      <c r="AZ107" s="27" t="s">
        <v>70</v>
      </c>
      <c r="BA107" s="11" t="s">
        <v>61</v>
      </c>
      <c r="BC107" s="25">
        <f>AW107+AX107</f>
        <v>0</v>
      </c>
      <c r="BD107" s="25">
        <f>G107/(100-BE107)*100</f>
        <v>0</v>
      </c>
      <c r="BE107" s="25">
        <v>0</v>
      </c>
      <c r="BF107" s="25">
        <f>107</f>
        <v>107</v>
      </c>
      <c r="BH107" s="25">
        <f>F107*AO107</f>
        <v>0</v>
      </c>
      <c r="BI107" s="25">
        <f>F107*AP107</f>
        <v>0</v>
      </c>
      <c r="BJ107" s="25">
        <f>F107*G107</f>
        <v>0</v>
      </c>
      <c r="BK107" s="25"/>
      <c r="BL107" s="25"/>
      <c r="BW107" s="25">
        <v>21</v>
      </c>
      <c r="BX107" s="5" t="s">
        <v>228</v>
      </c>
    </row>
    <row r="108" spans="1:76" x14ac:dyDescent="0.25">
      <c r="A108" s="28"/>
      <c r="C108" s="29" t="s">
        <v>65</v>
      </c>
      <c r="D108" s="29" t="s">
        <v>51</v>
      </c>
      <c r="F108" s="30">
        <v>2</v>
      </c>
      <c r="K108" s="31"/>
    </row>
    <row r="109" spans="1:76" x14ac:dyDescent="0.25">
      <c r="A109" s="2" t="s">
        <v>229</v>
      </c>
      <c r="B109" s="3" t="s">
        <v>230</v>
      </c>
      <c r="C109" s="79" t="s">
        <v>231</v>
      </c>
      <c r="D109" s="74"/>
      <c r="E109" s="3" t="s">
        <v>57</v>
      </c>
      <c r="F109" s="25">
        <v>1</v>
      </c>
      <c r="G109" s="25">
        <v>0</v>
      </c>
      <c r="H109" s="25">
        <f>F109*AO109</f>
        <v>0</v>
      </c>
      <c r="I109" s="25">
        <f>F109*AP109</f>
        <v>0</v>
      </c>
      <c r="J109" s="25">
        <f>F109*G109</f>
        <v>0</v>
      </c>
      <c r="K109" s="26" t="s">
        <v>58</v>
      </c>
      <c r="Z109" s="25">
        <f>IF(AQ109="5",BJ109,0)</f>
        <v>0</v>
      </c>
      <c r="AB109" s="25">
        <f>IF(AQ109="1",BH109,0)</f>
        <v>0</v>
      </c>
      <c r="AC109" s="25">
        <f>IF(AQ109="1",BI109,0)</f>
        <v>0</v>
      </c>
      <c r="AD109" s="25">
        <f>IF(AQ109="7",BH109,0)</f>
        <v>0</v>
      </c>
      <c r="AE109" s="25">
        <f>IF(AQ109="7",BI109,0)</f>
        <v>0</v>
      </c>
      <c r="AF109" s="25">
        <f>IF(AQ109="2",BH109,0)</f>
        <v>0</v>
      </c>
      <c r="AG109" s="25">
        <f>IF(AQ109="2",BI109,0)</f>
        <v>0</v>
      </c>
      <c r="AH109" s="25">
        <f>IF(AQ109="0",BJ109,0)</f>
        <v>0</v>
      </c>
      <c r="AI109" s="11" t="s">
        <v>51</v>
      </c>
      <c r="AJ109" s="25">
        <f>IF(AN109=0,J109,0)</f>
        <v>0</v>
      </c>
      <c r="AK109" s="25">
        <f>IF(AN109=12,J109,0)</f>
        <v>0</v>
      </c>
      <c r="AL109" s="25">
        <f>IF(AN109=21,J109,0)</f>
        <v>0</v>
      </c>
      <c r="AN109" s="25">
        <v>21</v>
      </c>
      <c r="AO109" s="25">
        <f>G109*0</f>
        <v>0</v>
      </c>
      <c r="AP109" s="25">
        <f>G109*(1-0)</f>
        <v>0</v>
      </c>
      <c r="AQ109" s="27" t="s">
        <v>65</v>
      </c>
      <c r="AV109" s="25">
        <f>AW109+AX109</f>
        <v>0</v>
      </c>
      <c r="AW109" s="25">
        <f>F109*AO109</f>
        <v>0</v>
      </c>
      <c r="AX109" s="25">
        <f>F109*AP109</f>
        <v>0</v>
      </c>
      <c r="AY109" s="27" t="s">
        <v>206</v>
      </c>
      <c r="AZ109" s="27" t="s">
        <v>70</v>
      </c>
      <c r="BA109" s="11" t="s">
        <v>61</v>
      </c>
      <c r="BC109" s="25">
        <f>AW109+AX109</f>
        <v>0</v>
      </c>
      <c r="BD109" s="25">
        <f>G109/(100-BE109)*100</f>
        <v>0</v>
      </c>
      <c r="BE109" s="25">
        <v>0</v>
      </c>
      <c r="BF109" s="25">
        <f>109</f>
        <v>109</v>
      </c>
      <c r="BH109" s="25">
        <f>F109*AO109</f>
        <v>0</v>
      </c>
      <c r="BI109" s="25">
        <f>F109*AP109</f>
        <v>0</v>
      </c>
      <c r="BJ109" s="25">
        <f>F109*G109</f>
        <v>0</v>
      </c>
      <c r="BK109" s="25"/>
      <c r="BL109" s="25"/>
      <c r="BW109" s="25">
        <v>21</v>
      </c>
      <c r="BX109" s="5" t="s">
        <v>231</v>
      </c>
    </row>
    <row r="110" spans="1:76" x14ac:dyDescent="0.25">
      <c r="A110" s="28"/>
      <c r="C110" s="29" t="s">
        <v>54</v>
      </c>
      <c r="D110" s="29" t="s">
        <v>51</v>
      </c>
      <c r="F110" s="30">
        <v>1</v>
      </c>
      <c r="K110" s="31"/>
    </row>
    <row r="111" spans="1:76" x14ac:dyDescent="0.25">
      <c r="A111" s="2" t="s">
        <v>232</v>
      </c>
      <c r="B111" s="3" t="s">
        <v>233</v>
      </c>
      <c r="C111" s="79" t="s">
        <v>234</v>
      </c>
      <c r="D111" s="74"/>
      <c r="E111" s="3" t="s">
        <v>68</v>
      </c>
      <c r="F111" s="25">
        <v>1</v>
      </c>
      <c r="G111" s="25">
        <v>0</v>
      </c>
      <c r="H111" s="25">
        <f>F111*AO111</f>
        <v>0</v>
      </c>
      <c r="I111" s="25">
        <f>F111*AP111</f>
        <v>0</v>
      </c>
      <c r="J111" s="25">
        <f>F111*G111</f>
        <v>0</v>
      </c>
      <c r="K111" s="26" t="s">
        <v>58</v>
      </c>
      <c r="Z111" s="25">
        <f>IF(AQ111="5",BJ111,0)</f>
        <v>0</v>
      </c>
      <c r="AB111" s="25">
        <f>IF(AQ111="1",BH111,0)</f>
        <v>0</v>
      </c>
      <c r="AC111" s="25">
        <f>IF(AQ111="1",BI111,0)</f>
        <v>0</v>
      </c>
      <c r="AD111" s="25">
        <f>IF(AQ111="7",BH111,0)</f>
        <v>0</v>
      </c>
      <c r="AE111" s="25">
        <f>IF(AQ111="7",BI111,0)</f>
        <v>0</v>
      </c>
      <c r="AF111" s="25">
        <f>IF(AQ111="2",BH111,0)</f>
        <v>0</v>
      </c>
      <c r="AG111" s="25">
        <f>IF(AQ111="2",BI111,0)</f>
        <v>0</v>
      </c>
      <c r="AH111" s="25">
        <f>IF(AQ111="0",BJ111,0)</f>
        <v>0</v>
      </c>
      <c r="AI111" s="11" t="s">
        <v>51</v>
      </c>
      <c r="AJ111" s="25">
        <f>IF(AN111=0,J111,0)</f>
        <v>0</v>
      </c>
      <c r="AK111" s="25">
        <f>IF(AN111=12,J111,0)</f>
        <v>0</v>
      </c>
      <c r="AL111" s="25">
        <f>IF(AN111=21,J111,0)</f>
        <v>0</v>
      </c>
      <c r="AN111" s="25">
        <v>21</v>
      </c>
      <c r="AO111" s="25">
        <f>G111*0.929658202</f>
        <v>0</v>
      </c>
      <c r="AP111" s="25">
        <f>G111*(1-0.929658202)</f>
        <v>0</v>
      </c>
      <c r="AQ111" s="27" t="s">
        <v>65</v>
      </c>
      <c r="AV111" s="25">
        <f>AW111+AX111</f>
        <v>0</v>
      </c>
      <c r="AW111" s="25">
        <f>F111*AO111</f>
        <v>0</v>
      </c>
      <c r="AX111" s="25">
        <f>F111*AP111</f>
        <v>0</v>
      </c>
      <c r="AY111" s="27" t="s">
        <v>206</v>
      </c>
      <c r="AZ111" s="27" t="s">
        <v>70</v>
      </c>
      <c r="BA111" s="11" t="s">
        <v>61</v>
      </c>
      <c r="BC111" s="25">
        <f>AW111+AX111</f>
        <v>0</v>
      </c>
      <c r="BD111" s="25">
        <f>G111/(100-BE111)*100</f>
        <v>0</v>
      </c>
      <c r="BE111" s="25">
        <v>0</v>
      </c>
      <c r="BF111" s="25">
        <f>111</f>
        <v>111</v>
      </c>
      <c r="BH111" s="25">
        <f>F111*AO111</f>
        <v>0</v>
      </c>
      <c r="BI111" s="25">
        <f>F111*AP111</f>
        <v>0</v>
      </c>
      <c r="BJ111" s="25">
        <f>F111*G111</f>
        <v>0</v>
      </c>
      <c r="BK111" s="25"/>
      <c r="BL111" s="25"/>
      <c r="BW111" s="25">
        <v>21</v>
      </c>
      <c r="BX111" s="5" t="s">
        <v>234</v>
      </c>
    </row>
    <row r="112" spans="1:76" x14ac:dyDescent="0.25">
      <c r="A112" s="28"/>
      <c r="C112" s="29" t="s">
        <v>54</v>
      </c>
      <c r="D112" s="29" t="s">
        <v>51</v>
      </c>
      <c r="F112" s="30">
        <v>1</v>
      </c>
      <c r="K112" s="31"/>
    </row>
    <row r="113" spans="1:76" x14ac:dyDescent="0.25">
      <c r="A113" s="2" t="s">
        <v>235</v>
      </c>
      <c r="B113" s="3" t="s">
        <v>236</v>
      </c>
      <c r="C113" s="79" t="s">
        <v>237</v>
      </c>
      <c r="D113" s="74"/>
      <c r="E113" s="3" t="s">
        <v>68</v>
      </c>
      <c r="F113" s="25">
        <v>1</v>
      </c>
      <c r="G113" s="25">
        <v>0</v>
      </c>
      <c r="H113" s="25">
        <f>F113*AO113</f>
        <v>0</v>
      </c>
      <c r="I113" s="25">
        <f>F113*AP113</f>
        <v>0</v>
      </c>
      <c r="J113" s="25">
        <f>F113*G113</f>
        <v>0</v>
      </c>
      <c r="K113" s="26" t="s">
        <v>58</v>
      </c>
      <c r="Z113" s="25">
        <f>IF(AQ113="5",BJ113,0)</f>
        <v>0</v>
      </c>
      <c r="AB113" s="25">
        <f>IF(AQ113="1",BH113,0)</f>
        <v>0</v>
      </c>
      <c r="AC113" s="25">
        <f>IF(AQ113="1",BI113,0)</f>
        <v>0</v>
      </c>
      <c r="AD113" s="25">
        <f>IF(AQ113="7",BH113,0)</f>
        <v>0</v>
      </c>
      <c r="AE113" s="25">
        <f>IF(AQ113="7",BI113,0)</f>
        <v>0</v>
      </c>
      <c r="AF113" s="25">
        <f>IF(AQ113="2",BH113,0)</f>
        <v>0</v>
      </c>
      <c r="AG113" s="25">
        <f>IF(AQ113="2",BI113,0)</f>
        <v>0</v>
      </c>
      <c r="AH113" s="25">
        <f>IF(AQ113="0",BJ113,0)</f>
        <v>0</v>
      </c>
      <c r="AI113" s="11" t="s">
        <v>51</v>
      </c>
      <c r="AJ113" s="25">
        <f>IF(AN113=0,J113,0)</f>
        <v>0</v>
      </c>
      <c r="AK113" s="25">
        <f>IF(AN113=12,J113,0)</f>
        <v>0</v>
      </c>
      <c r="AL113" s="25">
        <f>IF(AN113=21,J113,0)</f>
        <v>0</v>
      </c>
      <c r="AN113" s="25">
        <v>21</v>
      </c>
      <c r="AO113" s="25">
        <f>G113*0</f>
        <v>0</v>
      </c>
      <c r="AP113" s="25">
        <f>G113*(1-0)</f>
        <v>0</v>
      </c>
      <c r="AQ113" s="27" t="s">
        <v>65</v>
      </c>
      <c r="AV113" s="25">
        <f>AW113+AX113</f>
        <v>0</v>
      </c>
      <c r="AW113" s="25">
        <f>F113*AO113</f>
        <v>0</v>
      </c>
      <c r="AX113" s="25">
        <f>F113*AP113</f>
        <v>0</v>
      </c>
      <c r="AY113" s="27" t="s">
        <v>206</v>
      </c>
      <c r="AZ113" s="27" t="s">
        <v>70</v>
      </c>
      <c r="BA113" s="11" t="s">
        <v>61</v>
      </c>
      <c r="BC113" s="25">
        <f>AW113+AX113</f>
        <v>0</v>
      </c>
      <c r="BD113" s="25">
        <f>G113/(100-BE113)*100</f>
        <v>0</v>
      </c>
      <c r="BE113" s="25">
        <v>0</v>
      </c>
      <c r="BF113" s="25">
        <f>113</f>
        <v>113</v>
      </c>
      <c r="BH113" s="25">
        <f>F113*AO113</f>
        <v>0</v>
      </c>
      <c r="BI113" s="25">
        <f>F113*AP113</f>
        <v>0</v>
      </c>
      <c r="BJ113" s="25">
        <f>F113*G113</f>
        <v>0</v>
      </c>
      <c r="BK113" s="25"/>
      <c r="BL113" s="25"/>
      <c r="BW113" s="25">
        <v>21</v>
      </c>
      <c r="BX113" s="5" t="s">
        <v>237</v>
      </c>
    </row>
    <row r="114" spans="1:76" x14ac:dyDescent="0.25">
      <c r="A114" s="28"/>
      <c r="C114" s="29" t="s">
        <v>54</v>
      </c>
      <c r="D114" s="29" t="s">
        <v>51</v>
      </c>
      <c r="F114" s="30">
        <v>1</v>
      </c>
      <c r="K114" s="31"/>
    </row>
    <row r="115" spans="1:76" x14ac:dyDescent="0.25">
      <c r="A115" s="32" t="s">
        <v>51</v>
      </c>
      <c r="B115" s="33" t="s">
        <v>238</v>
      </c>
      <c r="C115" s="95" t="s">
        <v>239</v>
      </c>
      <c r="D115" s="96"/>
      <c r="E115" s="34" t="s">
        <v>4</v>
      </c>
      <c r="F115" s="34" t="s">
        <v>4</v>
      </c>
      <c r="G115" s="34" t="s">
        <v>4</v>
      </c>
      <c r="H115" s="1">
        <f>H116+H119</f>
        <v>0</v>
      </c>
      <c r="I115" s="1">
        <f>I116+I119</f>
        <v>0</v>
      </c>
      <c r="J115" s="1">
        <f>J116+J119</f>
        <v>0</v>
      </c>
      <c r="K115" s="35" t="s">
        <v>51</v>
      </c>
      <c r="AI115" s="11" t="s">
        <v>51</v>
      </c>
    </row>
    <row r="116" spans="1:76" x14ac:dyDescent="0.25">
      <c r="A116" s="32" t="s">
        <v>51</v>
      </c>
      <c r="B116" s="33" t="s">
        <v>240</v>
      </c>
      <c r="C116" s="95" t="s">
        <v>241</v>
      </c>
      <c r="D116" s="96"/>
      <c r="E116" s="34" t="s">
        <v>4</v>
      </c>
      <c r="F116" s="34" t="s">
        <v>4</v>
      </c>
      <c r="G116" s="34" t="s">
        <v>4</v>
      </c>
      <c r="H116" s="1">
        <f>SUM(H117:H117)</f>
        <v>0</v>
      </c>
      <c r="I116" s="1">
        <f>SUM(I117:I117)</f>
        <v>0</v>
      </c>
      <c r="J116" s="1">
        <f>SUM(J117:J117)</f>
        <v>0</v>
      </c>
      <c r="K116" s="35" t="s">
        <v>51</v>
      </c>
      <c r="AI116" s="11" t="s">
        <v>51</v>
      </c>
      <c r="AS116" s="1">
        <f>SUM(AJ117:AJ117)</f>
        <v>0</v>
      </c>
      <c r="AT116" s="1">
        <f>SUM(AK117:AK117)</f>
        <v>0</v>
      </c>
      <c r="AU116" s="1">
        <f>SUM(AL117:AL117)</f>
        <v>0</v>
      </c>
    </row>
    <row r="117" spans="1:76" x14ac:dyDescent="0.25">
      <c r="A117" s="2" t="s">
        <v>242</v>
      </c>
      <c r="B117" s="3" t="s">
        <v>243</v>
      </c>
      <c r="C117" s="79" t="s">
        <v>244</v>
      </c>
      <c r="D117" s="74"/>
      <c r="E117" s="3" t="s">
        <v>68</v>
      </c>
      <c r="F117" s="25">
        <v>1</v>
      </c>
      <c r="G117" s="25">
        <v>0</v>
      </c>
      <c r="H117" s="25">
        <f>F117*AO117</f>
        <v>0</v>
      </c>
      <c r="I117" s="25">
        <f>F117*AP117</f>
        <v>0</v>
      </c>
      <c r="J117" s="25">
        <f>F117*G117</f>
        <v>0</v>
      </c>
      <c r="K117" s="26" t="s">
        <v>51</v>
      </c>
      <c r="Z117" s="25">
        <f>IF(AQ117="5",BJ117,0)</f>
        <v>0</v>
      </c>
      <c r="AB117" s="25">
        <f>IF(AQ117="1",BH117,0)</f>
        <v>0</v>
      </c>
      <c r="AC117" s="25">
        <f>IF(AQ117="1",BI117,0)</f>
        <v>0</v>
      </c>
      <c r="AD117" s="25">
        <f>IF(AQ117="7",BH117,0)</f>
        <v>0</v>
      </c>
      <c r="AE117" s="25">
        <f>IF(AQ117="7",BI117,0)</f>
        <v>0</v>
      </c>
      <c r="AF117" s="25">
        <f>IF(AQ117="2",BH117,0)</f>
        <v>0</v>
      </c>
      <c r="AG117" s="25">
        <f>IF(AQ117="2",BI117,0)</f>
        <v>0</v>
      </c>
      <c r="AH117" s="25">
        <f>IF(AQ117="0",BJ117,0)</f>
        <v>0</v>
      </c>
      <c r="AI117" s="11" t="s">
        <v>51</v>
      </c>
      <c r="AJ117" s="25">
        <f>IF(AN117=0,J117,0)</f>
        <v>0</v>
      </c>
      <c r="AK117" s="25">
        <f>IF(AN117=12,J117,0)</f>
        <v>0</v>
      </c>
      <c r="AL117" s="25">
        <f>IF(AN117=21,J117,0)</f>
        <v>0</v>
      </c>
      <c r="AN117" s="25">
        <v>21</v>
      </c>
      <c r="AO117" s="25">
        <f>G117*0</f>
        <v>0</v>
      </c>
      <c r="AP117" s="25">
        <f>G117*(1-0)</f>
        <v>0</v>
      </c>
      <c r="AQ117" s="27" t="s">
        <v>245</v>
      </c>
      <c r="AV117" s="25">
        <f>AW117+AX117</f>
        <v>0</v>
      </c>
      <c r="AW117" s="25">
        <f>F117*AO117</f>
        <v>0</v>
      </c>
      <c r="AX117" s="25">
        <f>F117*AP117</f>
        <v>0</v>
      </c>
      <c r="AY117" s="27" t="s">
        <v>246</v>
      </c>
      <c r="AZ117" s="27" t="s">
        <v>247</v>
      </c>
      <c r="BA117" s="11" t="s">
        <v>61</v>
      </c>
      <c r="BC117" s="25">
        <f>AW117+AX117</f>
        <v>0</v>
      </c>
      <c r="BD117" s="25">
        <f>G117/(100-BE117)*100</f>
        <v>0</v>
      </c>
      <c r="BE117" s="25">
        <v>0</v>
      </c>
      <c r="BF117" s="25">
        <f>117</f>
        <v>117</v>
      </c>
      <c r="BH117" s="25">
        <f>F117*AO117</f>
        <v>0</v>
      </c>
      <c r="BI117" s="25">
        <f>F117*AP117</f>
        <v>0</v>
      </c>
      <c r="BJ117" s="25">
        <f>F117*G117</f>
        <v>0</v>
      </c>
      <c r="BK117" s="25"/>
      <c r="BL117" s="25"/>
      <c r="BM117" s="25">
        <f>F117*G117</f>
        <v>0</v>
      </c>
      <c r="BW117" s="25">
        <v>21</v>
      </c>
      <c r="BX117" s="5" t="s">
        <v>244</v>
      </c>
    </row>
    <row r="118" spans="1:76" x14ac:dyDescent="0.25">
      <c r="A118" s="28"/>
      <c r="C118" s="29" t="s">
        <v>54</v>
      </c>
      <c r="D118" s="29" t="s">
        <v>51</v>
      </c>
      <c r="F118" s="30">
        <v>1</v>
      </c>
      <c r="K118" s="31"/>
    </row>
    <row r="119" spans="1:76" x14ac:dyDescent="0.25">
      <c r="A119" s="32" t="s">
        <v>51</v>
      </c>
      <c r="B119" s="33" t="s">
        <v>248</v>
      </c>
      <c r="C119" s="95" t="s">
        <v>249</v>
      </c>
      <c r="D119" s="96"/>
      <c r="E119" s="34" t="s">
        <v>4</v>
      </c>
      <c r="F119" s="34" t="s">
        <v>4</v>
      </c>
      <c r="G119" s="34" t="s">
        <v>4</v>
      </c>
      <c r="H119" s="1">
        <f>SUM(H120:H122)</f>
        <v>0</v>
      </c>
      <c r="I119" s="1">
        <f>SUM(I120:I122)</f>
        <v>0</v>
      </c>
      <c r="J119" s="1">
        <f>SUM(J120:J122)</f>
        <v>0</v>
      </c>
      <c r="K119" s="35" t="s">
        <v>51</v>
      </c>
      <c r="AI119" s="11" t="s">
        <v>51</v>
      </c>
      <c r="AS119" s="1">
        <f>SUM(AJ120:AJ122)</f>
        <v>0</v>
      </c>
      <c r="AT119" s="1">
        <f>SUM(AK120:AK122)</f>
        <v>0</v>
      </c>
      <c r="AU119" s="1">
        <f>SUM(AL120:AL122)</f>
        <v>0</v>
      </c>
    </row>
    <row r="120" spans="1:76" x14ac:dyDescent="0.25">
      <c r="A120" s="2" t="s">
        <v>250</v>
      </c>
      <c r="B120" s="3" t="s">
        <v>251</v>
      </c>
      <c r="C120" s="79" t="s">
        <v>252</v>
      </c>
      <c r="D120" s="74"/>
      <c r="E120" s="3" t="s">
        <v>68</v>
      </c>
      <c r="F120" s="25">
        <v>1</v>
      </c>
      <c r="G120" s="25">
        <v>0</v>
      </c>
      <c r="H120" s="25">
        <f>F120*AO120</f>
        <v>0</v>
      </c>
      <c r="I120" s="25">
        <f>F120*AP120</f>
        <v>0</v>
      </c>
      <c r="J120" s="25">
        <f>F120*G120</f>
        <v>0</v>
      </c>
      <c r="K120" s="26" t="s">
        <v>51</v>
      </c>
      <c r="Z120" s="25">
        <f>IF(AQ120="5",BJ120,0)</f>
        <v>0</v>
      </c>
      <c r="AB120" s="25">
        <f>IF(AQ120="1",BH120,0)</f>
        <v>0</v>
      </c>
      <c r="AC120" s="25">
        <f>IF(AQ120="1",BI120,0)</f>
        <v>0</v>
      </c>
      <c r="AD120" s="25">
        <f>IF(AQ120="7",BH120,0)</f>
        <v>0</v>
      </c>
      <c r="AE120" s="25">
        <f>IF(AQ120="7",BI120,0)</f>
        <v>0</v>
      </c>
      <c r="AF120" s="25">
        <f>IF(AQ120="2",BH120,0)</f>
        <v>0</v>
      </c>
      <c r="AG120" s="25">
        <f>IF(AQ120="2",BI120,0)</f>
        <v>0</v>
      </c>
      <c r="AH120" s="25">
        <f>IF(AQ120="0",BJ120,0)</f>
        <v>0</v>
      </c>
      <c r="AI120" s="11" t="s">
        <v>51</v>
      </c>
      <c r="AJ120" s="25">
        <f>IF(AN120=0,J120,0)</f>
        <v>0</v>
      </c>
      <c r="AK120" s="25">
        <f>IF(AN120=12,J120,0)</f>
        <v>0</v>
      </c>
      <c r="AL120" s="25">
        <f>IF(AN120=21,J120,0)</f>
        <v>0</v>
      </c>
      <c r="AN120" s="25">
        <v>21</v>
      </c>
      <c r="AO120" s="25">
        <f>G120*0</f>
        <v>0</v>
      </c>
      <c r="AP120" s="25">
        <f>G120*(1-0)</f>
        <v>0</v>
      </c>
      <c r="AQ120" s="27" t="s">
        <v>245</v>
      </c>
      <c r="AV120" s="25">
        <f>AW120+AX120</f>
        <v>0</v>
      </c>
      <c r="AW120" s="25">
        <f>F120*AO120</f>
        <v>0</v>
      </c>
      <c r="AX120" s="25">
        <f>F120*AP120</f>
        <v>0</v>
      </c>
      <c r="AY120" s="27" t="s">
        <v>253</v>
      </c>
      <c r="AZ120" s="27" t="s">
        <v>247</v>
      </c>
      <c r="BA120" s="11" t="s">
        <v>61</v>
      </c>
      <c r="BC120" s="25">
        <f>AW120+AX120</f>
        <v>0</v>
      </c>
      <c r="BD120" s="25">
        <f>G120/(100-BE120)*100</f>
        <v>0</v>
      </c>
      <c r="BE120" s="25">
        <v>0</v>
      </c>
      <c r="BF120" s="25">
        <f>120</f>
        <v>120</v>
      </c>
      <c r="BH120" s="25">
        <f>F120*AO120</f>
        <v>0</v>
      </c>
      <c r="BI120" s="25">
        <f>F120*AP120</f>
        <v>0</v>
      </c>
      <c r="BJ120" s="25">
        <f>F120*G120</f>
        <v>0</v>
      </c>
      <c r="BK120" s="25"/>
      <c r="BL120" s="25"/>
      <c r="BO120" s="25">
        <f>F120*G120</f>
        <v>0</v>
      </c>
      <c r="BW120" s="25">
        <v>21</v>
      </c>
      <c r="BX120" s="5" t="s">
        <v>252</v>
      </c>
    </row>
    <row r="121" spans="1:76" x14ac:dyDescent="0.25">
      <c r="A121" s="28"/>
      <c r="C121" s="29" t="s">
        <v>54</v>
      </c>
      <c r="D121" s="29" t="s">
        <v>51</v>
      </c>
      <c r="F121" s="30">
        <v>1</v>
      </c>
      <c r="K121" s="31"/>
    </row>
    <row r="122" spans="1:76" x14ac:dyDescent="0.25">
      <c r="A122" s="2" t="s">
        <v>254</v>
      </c>
      <c r="B122" s="3" t="s">
        <v>255</v>
      </c>
      <c r="C122" s="79" t="s">
        <v>256</v>
      </c>
      <c r="D122" s="74"/>
      <c r="E122" s="3" t="s">
        <v>186</v>
      </c>
      <c r="F122" s="25">
        <v>1</v>
      </c>
      <c r="G122" s="25">
        <v>0</v>
      </c>
      <c r="H122" s="25">
        <f>F122*AO122</f>
        <v>0</v>
      </c>
      <c r="I122" s="25">
        <f>F122*AP122</f>
        <v>0</v>
      </c>
      <c r="J122" s="25">
        <f>F122*G122</f>
        <v>0</v>
      </c>
      <c r="K122" s="26" t="s">
        <v>51</v>
      </c>
      <c r="Z122" s="25">
        <f>IF(AQ122="5",BJ122,0)</f>
        <v>0</v>
      </c>
      <c r="AB122" s="25">
        <f>IF(AQ122="1",BH122,0)</f>
        <v>0</v>
      </c>
      <c r="AC122" s="25">
        <f>IF(AQ122="1",BI122,0)</f>
        <v>0</v>
      </c>
      <c r="AD122" s="25">
        <f>IF(AQ122="7",BH122,0)</f>
        <v>0</v>
      </c>
      <c r="AE122" s="25">
        <f>IF(AQ122="7",BI122,0)</f>
        <v>0</v>
      </c>
      <c r="AF122" s="25">
        <f>IF(AQ122="2",BH122,0)</f>
        <v>0</v>
      </c>
      <c r="AG122" s="25">
        <f>IF(AQ122="2",BI122,0)</f>
        <v>0</v>
      </c>
      <c r="AH122" s="25">
        <f>IF(AQ122="0",BJ122,0)</f>
        <v>0</v>
      </c>
      <c r="AI122" s="11" t="s">
        <v>51</v>
      </c>
      <c r="AJ122" s="25">
        <f>IF(AN122=0,J122,0)</f>
        <v>0</v>
      </c>
      <c r="AK122" s="25">
        <f>IF(AN122=12,J122,0)</f>
        <v>0</v>
      </c>
      <c r="AL122" s="25">
        <f>IF(AN122=21,J122,0)</f>
        <v>0</v>
      </c>
      <c r="AN122" s="25">
        <v>21</v>
      </c>
      <c r="AO122" s="25">
        <f>G122*0</f>
        <v>0</v>
      </c>
      <c r="AP122" s="25">
        <f>G122*(1-0)</f>
        <v>0</v>
      </c>
      <c r="AQ122" s="27" t="s">
        <v>245</v>
      </c>
      <c r="AV122" s="25">
        <f>AW122+AX122</f>
        <v>0</v>
      </c>
      <c r="AW122" s="25">
        <f>F122*AO122</f>
        <v>0</v>
      </c>
      <c r="AX122" s="25">
        <f>F122*AP122</f>
        <v>0</v>
      </c>
      <c r="AY122" s="27" t="s">
        <v>253</v>
      </c>
      <c r="AZ122" s="27" t="s">
        <v>247</v>
      </c>
      <c r="BA122" s="11" t="s">
        <v>61</v>
      </c>
      <c r="BC122" s="25">
        <f>AW122+AX122</f>
        <v>0</v>
      </c>
      <c r="BD122" s="25">
        <f>G122/(100-BE122)*100</f>
        <v>0</v>
      </c>
      <c r="BE122" s="25">
        <v>0</v>
      </c>
      <c r="BF122" s="25">
        <f>122</f>
        <v>122</v>
      </c>
      <c r="BH122" s="25">
        <f>F122*AO122</f>
        <v>0</v>
      </c>
      <c r="BI122" s="25">
        <f>F122*AP122</f>
        <v>0</v>
      </c>
      <c r="BJ122" s="25">
        <f>F122*G122</f>
        <v>0</v>
      </c>
      <c r="BK122" s="25"/>
      <c r="BL122" s="25"/>
      <c r="BO122" s="25">
        <f>F122*G122</f>
        <v>0</v>
      </c>
      <c r="BW122" s="25">
        <v>21</v>
      </c>
      <c r="BX122" s="5" t="s">
        <v>256</v>
      </c>
    </row>
    <row r="123" spans="1:76" x14ac:dyDescent="0.25">
      <c r="A123" s="36"/>
      <c r="B123" s="37"/>
      <c r="C123" s="38" t="s">
        <v>54</v>
      </c>
      <c r="D123" s="38" t="s">
        <v>51</v>
      </c>
      <c r="E123" s="37"/>
      <c r="F123" s="39">
        <v>1</v>
      </c>
      <c r="G123" s="37"/>
      <c r="H123" s="37"/>
      <c r="I123" s="37"/>
      <c r="J123" s="37"/>
      <c r="K123" s="40"/>
    </row>
    <row r="124" spans="1:76" x14ac:dyDescent="0.25">
      <c r="H124" s="97" t="s">
        <v>257</v>
      </c>
      <c r="I124" s="97"/>
      <c r="J124" s="41">
        <f>J12+J15+J22+J85+J92+J116+J119</f>
        <v>0</v>
      </c>
    </row>
    <row r="125" spans="1:76" x14ac:dyDescent="0.25">
      <c r="A125" s="42" t="s">
        <v>258</v>
      </c>
    </row>
    <row r="126" spans="1:76" ht="12.75" customHeight="1" x14ac:dyDescent="0.25">
      <c r="A126" s="79" t="s">
        <v>51</v>
      </c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</sheetData>
  <mergeCells count="90">
    <mergeCell ref="C120:D120"/>
    <mergeCell ref="C122:D122"/>
    <mergeCell ref="H124:I124"/>
    <mergeCell ref="A126:K126"/>
    <mergeCell ref="C113:D113"/>
    <mergeCell ref="C115:D115"/>
    <mergeCell ref="C116:D116"/>
    <mergeCell ref="C117:D117"/>
    <mergeCell ref="C119:D119"/>
    <mergeCell ref="C103:D103"/>
    <mergeCell ref="C105:D105"/>
    <mergeCell ref="C107:D107"/>
    <mergeCell ref="C109:D109"/>
    <mergeCell ref="C111:D111"/>
    <mergeCell ref="C93:D93"/>
    <mergeCell ref="C95:D95"/>
    <mergeCell ref="C97:D97"/>
    <mergeCell ref="C99:D99"/>
    <mergeCell ref="C101:D101"/>
    <mergeCell ref="C85:D85"/>
    <mergeCell ref="C86:D86"/>
    <mergeCell ref="C88:D88"/>
    <mergeCell ref="C90:D90"/>
    <mergeCell ref="C92:D92"/>
    <mergeCell ref="C75:D75"/>
    <mergeCell ref="C77:D77"/>
    <mergeCell ref="C79:D79"/>
    <mergeCell ref="C81:D81"/>
    <mergeCell ref="C83:D83"/>
    <mergeCell ref="C65:D65"/>
    <mergeCell ref="C67:D67"/>
    <mergeCell ref="C69:D69"/>
    <mergeCell ref="C71:D71"/>
    <mergeCell ref="C73:D73"/>
    <mergeCell ref="C55:D55"/>
    <mergeCell ref="C57:D57"/>
    <mergeCell ref="C59:D59"/>
    <mergeCell ref="C61:D61"/>
    <mergeCell ref="C63:D63"/>
    <mergeCell ref="C45:D45"/>
    <mergeCell ref="C47:D47"/>
    <mergeCell ref="C49:D49"/>
    <mergeCell ref="C51:D51"/>
    <mergeCell ref="C53:D53"/>
    <mergeCell ref="C35:D35"/>
    <mergeCell ref="C37:D37"/>
    <mergeCell ref="C39:D39"/>
    <mergeCell ref="C41:D41"/>
    <mergeCell ref="C43:D43"/>
    <mergeCell ref="C25:D25"/>
    <mergeCell ref="C27:D27"/>
    <mergeCell ref="C29:D29"/>
    <mergeCell ref="C31:D31"/>
    <mergeCell ref="C33:D33"/>
    <mergeCell ref="C16:D16"/>
    <mergeCell ref="C18:D18"/>
    <mergeCell ref="C20:D20"/>
    <mergeCell ref="C22:D22"/>
    <mergeCell ref="C23:D23"/>
    <mergeCell ref="C11:D11"/>
    <mergeCell ref="H10:J10"/>
    <mergeCell ref="C12:D12"/>
    <mergeCell ref="C13:D13"/>
    <mergeCell ref="C15:D15"/>
    <mergeCell ref="I2:K3"/>
    <mergeCell ref="I4:K5"/>
    <mergeCell ref="I6:K7"/>
    <mergeCell ref="I8:K9"/>
    <mergeCell ref="C10:D10"/>
    <mergeCell ref="C8:D9"/>
    <mergeCell ref="G2:G3"/>
    <mergeCell ref="G4:G5"/>
    <mergeCell ref="G6:G7"/>
    <mergeCell ref="G8:G9"/>
    <mergeCell ref="A1:K1"/>
    <mergeCell ref="A2:B3"/>
    <mergeCell ref="A4:B5"/>
    <mergeCell ref="A6:B7"/>
    <mergeCell ref="A8:B9"/>
    <mergeCell ref="E2:F3"/>
    <mergeCell ref="E4:F5"/>
    <mergeCell ref="E6:F7"/>
    <mergeCell ref="E8:F9"/>
    <mergeCell ref="H2:H3"/>
    <mergeCell ref="H4:H5"/>
    <mergeCell ref="H6:H7"/>
    <mergeCell ref="H8:H9"/>
    <mergeCell ref="C2:D3"/>
    <mergeCell ref="C4:D5"/>
    <mergeCell ref="C6:D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pane ySplit="11" topLeftCell="A12" activePane="bottomLeft" state="frozen"/>
      <selection pane="bottomLeft" activeCell="C18" sqref="C18:D18"/>
    </sheetView>
  </sheetViews>
  <sheetFormatPr defaultColWidth="12.140625" defaultRowHeight="15" customHeight="1" x14ac:dyDescent="0.25"/>
  <cols>
    <col min="1" max="2" width="4.28515625" customWidth="1"/>
    <col min="3" max="3" width="71.42578125" customWidth="1"/>
    <col min="4" max="4" width="12.140625" customWidth="1"/>
    <col min="5" max="7" width="27.85546875" customWidth="1"/>
    <col min="8" max="9" width="0" hidden="1" customWidth="1"/>
  </cols>
  <sheetData>
    <row r="1" spans="1:9" ht="54.75" customHeight="1" x14ac:dyDescent="0.25">
      <c r="A1" s="70" t="s">
        <v>259</v>
      </c>
      <c r="B1" s="70"/>
      <c r="C1" s="70"/>
      <c r="D1" s="70"/>
      <c r="E1" s="70"/>
      <c r="F1" s="70"/>
      <c r="G1" s="70"/>
    </row>
    <row r="2" spans="1:9" x14ac:dyDescent="0.25">
      <c r="A2" s="71" t="s">
        <v>1</v>
      </c>
      <c r="B2" s="72"/>
      <c r="C2" s="80" t="str">
        <f>'Stavební rozpočet'!C2</f>
        <v>REVITALIZACE VENKOVNÍCH ŠATEN NA MĚSTSKÉM STADIONU</v>
      </c>
      <c r="D2" s="72" t="s">
        <v>3</v>
      </c>
      <c r="E2" s="72" t="s">
        <v>4</v>
      </c>
      <c r="F2" s="78" t="s">
        <v>5</v>
      </c>
      <c r="G2" s="99" t="str">
        <f>'Stavební rozpočet'!I2</f>
        <v>MĚSTO ŠLUKNOV</v>
      </c>
    </row>
    <row r="3" spans="1:9" ht="15" customHeight="1" x14ac:dyDescent="0.25">
      <c r="A3" s="73"/>
      <c r="B3" s="74"/>
      <c r="C3" s="82"/>
      <c r="D3" s="74"/>
      <c r="E3" s="74"/>
      <c r="F3" s="74"/>
      <c r="G3" s="84"/>
    </row>
    <row r="4" spans="1:9" x14ac:dyDescent="0.25">
      <c r="A4" s="75" t="s">
        <v>7</v>
      </c>
      <c r="B4" s="74"/>
      <c r="C4" s="79" t="str">
        <f>'Stavební rozpočet'!C4</f>
        <v>ELEKTROMONTÁŽE</v>
      </c>
      <c r="D4" s="74" t="s">
        <v>9</v>
      </c>
      <c r="E4" s="74" t="s">
        <v>10</v>
      </c>
      <c r="F4" s="79" t="s">
        <v>11</v>
      </c>
      <c r="G4" s="100" t="str">
        <f>'Stavební rozpočet'!I4</f>
        <v>LADISLAV KAŠPAR</v>
      </c>
    </row>
    <row r="5" spans="1:9" ht="15" customHeight="1" x14ac:dyDescent="0.25">
      <c r="A5" s="73"/>
      <c r="B5" s="74"/>
      <c r="C5" s="74"/>
      <c r="D5" s="74"/>
      <c r="E5" s="74"/>
      <c r="F5" s="74"/>
      <c r="G5" s="84"/>
    </row>
    <row r="6" spans="1:9" x14ac:dyDescent="0.25">
      <c r="A6" s="75" t="s">
        <v>13</v>
      </c>
      <c r="B6" s="74"/>
      <c r="C6" s="79" t="str">
        <f>'Stavební rozpočet'!C6</f>
        <v>ŠLUKNOV</v>
      </c>
      <c r="D6" s="74" t="s">
        <v>15</v>
      </c>
      <c r="E6" s="74" t="s">
        <v>4</v>
      </c>
      <c r="F6" s="79" t="s">
        <v>16</v>
      </c>
      <c r="G6" s="100" t="str">
        <f>'Stavební rozpočet'!I6</f>
        <v>BUDE VYBRÁN VÝBĚROVÝM ŘÍZENÍM</v>
      </c>
    </row>
    <row r="7" spans="1:9" ht="15" customHeight="1" x14ac:dyDescent="0.25">
      <c r="A7" s="73"/>
      <c r="B7" s="74"/>
      <c r="C7" s="74"/>
      <c r="D7" s="74"/>
      <c r="E7" s="74"/>
      <c r="F7" s="74"/>
      <c r="G7" s="84"/>
    </row>
    <row r="8" spans="1:9" x14ac:dyDescent="0.25">
      <c r="A8" s="75" t="s">
        <v>20</v>
      </c>
      <c r="B8" s="74"/>
      <c r="C8" s="79" t="str">
        <f>'Stavební rozpočet'!I8</f>
        <v>IIČVDF</v>
      </c>
      <c r="D8" s="74" t="s">
        <v>19</v>
      </c>
      <c r="E8" s="74" t="s">
        <v>10</v>
      </c>
      <c r="F8" s="74" t="s">
        <v>19</v>
      </c>
      <c r="G8" s="100" t="str">
        <f>'Stavební rozpočet'!G8</f>
        <v>10.04.2024</v>
      </c>
    </row>
    <row r="9" spans="1:9" x14ac:dyDescent="0.25">
      <c r="A9" s="76"/>
      <c r="B9" s="77"/>
      <c r="C9" s="77"/>
      <c r="D9" s="98"/>
      <c r="E9" s="77"/>
      <c r="F9" s="77"/>
      <c r="G9" s="85"/>
    </row>
    <row r="10" spans="1:9" x14ac:dyDescent="0.25">
      <c r="A10" s="101" t="s">
        <v>23</v>
      </c>
      <c r="B10" s="102"/>
      <c r="C10" s="43" t="s">
        <v>24</v>
      </c>
      <c r="E10" s="44" t="s">
        <v>260</v>
      </c>
      <c r="F10" s="45" t="s">
        <v>261</v>
      </c>
      <c r="G10" s="45" t="s">
        <v>262</v>
      </c>
    </row>
    <row r="11" spans="1:9" x14ac:dyDescent="0.25">
      <c r="A11" s="103" t="s">
        <v>52</v>
      </c>
      <c r="B11" s="104"/>
      <c r="C11" s="74" t="s">
        <v>53</v>
      </c>
      <c r="D11" s="74"/>
      <c r="E11" s="46">
        <f>'Stavební rozpočet'!H12</f>
        <v>0</v>
      </c>
      <c r="F11" s="46">
        <f>'Stavební rozpočet'!I12</f>
        <v>0</v>
      </c>
      <c r="G11" s="46">
        <f>'Stavební rozpočet'!J12</f>
        <v>0</v>
      </c>
      <c r="H11" s="27" t="s">
        <v>263</v>
      </c>
      <c r="I11" s="25">
        <f t="shared" ref="I11:I18" si="0">IF(H11="F",0,G11)</f>
        <v>0</v>
      </c>
    </row>
    <row r="12" spans="1:9" x14ac:dyDescent="0.25">
      <c r="A12" s="73" t="s">
        <v>63</v>
      </c>
      <c r="B12" s="74"/>
      <c r="C12" s="74" t="s">
        <v>64</v>
      </c>
      <c r="D12" s="74"/>
      <c r="E12" s="25">
        <f>'Stavební rozpočet'!H15</f>
        <v>0</v>
      </c>
      <c r="F12" s="25">
        <f>'Stavební rozpočet'!I15</f>
        <v>0</v>
      </c>
      <c r="G12" s="25">
        <f>'Stavební rozpočet'!J15</f>
        <v>0</v>
      </c>
      <c r="H12" s="27" t="s">
        <v>263</v>
      </c>
      <c r="I12" s="25">
        <f t="shared" si="0"/>
        <v>0</v>
      </c>
    </row>
    <row r="13" spans="1:9" x14ac:dyDescent="0.25">
      <c r="A13" s="73" t="s">
        <v>81</v>
      </c>
      <c r="B13" s="74"/>
      <c r="C13" s="74" t="s">
        <v>82</v>
      </c>
      <c r="D13" s="74"/>
      <c r="E13" s="25">
        <f>'Stavební rozpočet'!H22</f>
        <v>0</v>
      </c>
      <c r="F13" s="25">
        <f>'Stavební rozpočet'!I22</f>
        <v>0</v>
      </c>
      <c r="G13" s="25">
        <f>'Stavební rozpočet'!J22</f>
        <v>0</v>
      </c>
      <c r="H13" s="27" t="s">
        <v>263</v>
      </c>
      <c r="I13" s="25">
        <f t="shared" si="0"/>
        <v>0</v>
      </c>
    </row>
    <row r="14" spans="1:9" x14ac:dyDescent="0.25">
      <c r="A14" s="73" t="s">
        <v>188</v>
      </c>
      <c r="B14" s="74"/>
      <c r="C14" s="74" t="s">
        <v>189</v>
      </c>
      <c r="D14" s="74"/>
      <c r="E14" s="25">
        <f>'Stavební rozpočet'!H85</f>
        <v>0</v>
      </c>
      <c r="F14" s="25">
        <f>'Stavební rozpočet'!I85</f>
        <v>0</v>
      </c>
      <c r="G14" s="25">
        <f>'Stavební rozpočet'!J85</f>
        <v>0</v>
      </c>
      <c r="H14" s="27" t="s">
        <v>263</v>
      </c>
      <c r="I14" s="25">
        <f t="shared" si="0"/>
        <v>0</v>
      </c>
    </row>
    <row r="15" spans="1:9" x14ac:dyDescent="0.25">
      <c r="A15" s="73" t="s">
        <v>201</v>
      </c>
      <c r="B15" s="74"/>
      <c r="C15" s="74" t="s">
        <v>202</v>
      </c>
      <c r="D15" s="74"/>
      <c r="E15" s="25">
        <f>'Stavební rozpočet'!H92</f>
        <v>0</v>
      </c>
      <c r="F15" s="25">
        <f>'Stavební rozpočet'!I92</f>
        <v>0</v>
      </c>
      <c r="G15" s="25">
        <f>'Stavební rozpočet'!J92</f>
        <v>0</v>
      </c>
      <c r="H15" s="27" t="s">
        <v>263</v>
      </c>
      <c r="I15" s="25">
        <f t="shared" si="0"/>
        <v>0</v>
      </c>
    </row>
    <row r="16" spans="1:9" x14ac:dyDescent="0.25">
      <c r="A16" s="73" t="s">
        <v>238</v>
      </c>
      <c r="B16" s="74"/>
      <c r="C16" s="74" t="s">
        <v>239</v>
      </c>
      <c r="D16" s="74"/>
      <c r="E16" s="25">
        <f>'Stavební rozpočet'!H115</f>
        <v>0</v>
      </c>
      <c r="F16" s="25">
        <f>'Stavební rozpočet'!I115</f>
        <v>0</v>
      </c>
      <c r="G16" s="25">
        <f>'Stavební rozpočet'!J115</f>
        <v>0</v>
      </c>
      <c r="H16" s="27" t="s">
        <v>264</v>
      </c>
      <c r="I16" s="25">
        <f t="shared" si="0"/>
        <v>0</v>
      </c>
    </row>
    <row r="17" spans="1:9" x14ac:dyDescent="0.25">
      <c r="A17" s="73" t="s">
        <v>240</v>
      </c>
      <c r="B17" s="74"/>
      <c r="C17" s="74" t="s">
        <v>241</v>
      </c>
      <c r="D17" s="74"/>
      <c r="E17" s="25">
        <f>'Stavební rozpočet'!H116</f>
        <v>0</v>
      </c>
      <c r="F17" s="25">
        <f>'Stavební rozpočet'!I116</f>
        <v>0</v>
      </c>
      <c r="G17" s="25">
        <f>'Stavební rozpočet'!J116</f>
        <v>0</v>
      </c>
      <c r="H17" s="27" t="s">
        <v>263</v>
      </c>
      <c r="I17" s="25">
        <f t="shared" si="0"/>
        <v>0</v>
      </c>
    </row>
    <row r="18" spans="1:9" x14ac:dyDescent="0.25">
      <c r="A18" s="73" t="s">
        <v>248</v>
      </c>
      <c r="B18" s="74"/>
      <c r="C18" s="74" t="s">
        <v>249</v>
      </c>
      <c r="D18" s="74"/>
      <c r="E18" s="25">
        <f>'Stavební rozpočet'!H119</f>
        <v>0</v>
      </c>
      <c r="F18" s="25">
        <f>'Stavební rozpočet'!I119</f>
        <v>0</v>
      </c>
      <c r="G18" s="25">
        <f>'Stavební rozpočet'!J119</f>
        <v>0</v>
      </c>
      <c r="H18" s="27" t="s">
        <v>263</v>
      </c>
      <c r="I18" s="25">
        <f t="shared" si="0"/>
        <v>0</v>
      </c>
    </row>
    <row r="19" spans="1:9" x14ac:dyDescent="0.25">
      <c r="F19" s="4" t="s">
        <v>257</v>
      </c>
      <c r="G19" s="47">
        <f>SUM(I11:I18)</f>
        <v>0</v>
      </c>
    </row>
  </sheetData>
  <mergeCells count="42">
    <mergeCell ref="A17:B17"/>
    <mergeCell ref="C17:D17"/>
    <mergeCell ref="A18:B18"/>
    <mergeCell ref="C18:D18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G2:G3"/>
    <mergeCell ref="G4:G5"/>
    <mergeCell ref="G6:G7"/>
    <mergeCell ref="G8:G9"/>
    <mergeCell ref="A10:B10"/>
    <mergeCell ref="C8:C9"/>
    <mergeCell ref="E2:E3"/>
    <mergeCell ref="E4:E5"/>
    <mergeCell ref="E6:E7"/>
    <mergeCell ref="E8:E9"/>
    <mergeCell ref="A1:G1"/>
    <mergeCell ref="A2:B3"/>
    <mergeCell ref="A4:B5"/>
    <mergeCell ref="A6:B7"/>
    <mergeCell ref="A8:B9"/>
    <mergeCell ref="D2:D3"/>
    <mergeCell ref="D4:D5"/>
    <mergeCell ref="D6:D7"/>
    <mergeCell ref="D8:D9"/>
    <mergeCell ref="F2:F3"/>
    <mergeCell ref="F4:F5"/>
    <mergeCell ref="F6:F7"/>
    <mergeCell ref="F8:F9"/>
    <mergeCell ref="C2:C3"/>
    <mergeCell ref="C4:C5"/>
    <mergeCell ref="C6:C7"/>
  </mergeCells>
  <pageMargins left="0.393999993801117" right="0.393999993801117" top="0.59100002050399802" bottom="0.59100002050399802" header="0" footer="0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workbookViewId="0">
      <selection activeCell="A37" sqref="A37:I37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7.140625" customWidth="1"/>
    <col min="4" max="4" width="10" customWidth="1"/>
    <col min="5" max="5" width="14" customWidth="1"/>
    <col min="6" max="6" width="27.140625" customWidth="1"/>
    <col min="7" max="7" width="9.140625" customWidth="1"/>
    <col min="8" max="8" width="12.85546875" customWidth="1"/>
    <col min="9" max="9" width="27.140625" customWidth="1"/>
  </cols>
  <sheetData>
    <row r="1" spans="1:9" ht="54.75" customHeight="1" x14ac:dyDescent="0.25">
      <c r="A1" s="105" t="s">
        <v>265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80" t="str">
        <f>'Stavební rozpočet'!C2</f>
        <v>REVITALIZACE VENKOVNÍCH ŠATEN NA MĚSTSKÉM STADIONU</v>
      </c>
      <c r="D2" s="81"/>
      <c r="E2" s="78" t="s">
        <v>5</v>
      </c>
      <c r="F2" s="78" t="str">
        <f>'Stavební rozpočet'!I2</f>
        <v>MĚSTO ŠLUKNOV</v>
      </c>
      <c r="G2" s="72"/>
      <c r="H2" s="78" t="s">
        <v>266</v>
      </c>
      <c r="I2" s="83" t="s">
        <v>51</v>
      </c>
    </row>
    <row r="3" spans="1:9" ht="15" customHeight="1" x14ac:dyDescent="0.25">
      <c r="A3" s="73"/>
      <c r="B3" s="74"/>
      <c r="C3" s="82"/>
      <c r="D3" s="82"/>
      <c r="E3" s="74"/>
      <c r="F3" s="74"/>
      <c r="G3" s="74"/>
      <c r="H3" s="74"/>
      <c r="I3" s="84"/>
    </row>
    <row r="4" spans="1:9" x14ac:dyDescent="0.25">
      <c r="A4" s="75" t="s">
        <v>7</v>
      </c>
      <c r="B4" s="74"/>
      <c r="C4" s="79" t="str">
        <f>'Stavební rozpočet'!C4</f>
        <v>ELEKTROMONTÁŽE</v>
      </c>
      <c r="D4" s="74"/>
      <c r="E4" s="79" t="s">
        <v>11</v>
      </c>
      <c r="F4" s="79" t="str">
        <f>'Stavební rozpočet'!I4</f>
        <v>LADISLAV KAŠPAR</v>
      </c>
      <c r="G4" s="74"/>
      <c r="H4" s="79" t="s">
        <v>266</v>
      </c>
      <c r="I4" s="84" t="s">
        <v>51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13</v>
      </c>
      <c r="B6" s="74"/>
      <c r="C6" s="79" t="str">
        <f>'Stavební rozpočet'!C6</f>
        <v>ŠLUKNOV</v>
      </c>
      <c r="D6" s="74"/>
      <c r="E6" s="79" t="s">
        <v>16</v>
      </c>
      <c r="F6" s="79" t="str">
        <f>'Stavební rozpočet'!I6</f>
        <v>BUDE VYBRÁN VÝBĚROVÝM ŘÍZENÍM</v>
      </c>
      <c r="G6" s="74"/>
      <c r="H6" s="79" t="s">
        <v>266</v>
      </c>
      <c r="I6" s="84" t="s">
        <v>51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9</v>
      </c>
      <c r="B8" s="74"/>
      <c r="C8" s="79" t="str">
        <f>'Stavební rozpočet'!G4</f>
        <v>10.04.2024</v>
      </c>
      <c r="D8" s="74"/>
      <c r="E8" s="79" t="s">
        <v>15</v>
      </c>
      <c r="F8" s="79" t="str">
        <f>'Stavební rozpočet'!G6</f>
        <v xml:space="preserve"> </v>
      </c>
      <c r="G8" s="74"/>
      <c r="H8" s="74" t="s">
        <v>267</v>
      </c>
      <c r="I8" s="107">
        <v>52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18</v>
      </c>
      <c r="B10" s="74"/>
      <c r="C10" s="79" t="str">
        <f>'Stavební rozpočet'!C8</f>
        <v xml:space="preserve"> </v>
      </c>
      <c r="D10" s="74"/>
      <c r="E10" s="79" t="s">
        <v>20</v>
      </c>
      <c r="F10" s="79" t="str">
        <f>'Stavební rozpočet'!I8</f>
        <v>IIČVDF</v>
      </c>
      <c r="G10" s="74"/>
      <c r="H10" s="74" t="s">
        <v>268</v>
      </c>
      <c r="I10" s="100" t="str">
        <f>'Stavební rozpočet'!G8</f>
        <v>10.04.2024</v>
      </c>
    </row>
    <row r="11" spans="1:9" x14ac:dyDescent="0.25">
      <c r="A11" s="106"/>
      <c r="B11" s="98"/>
      <c r="C11" s="98"/>
      <c r="D11" s="98"/>
      <c r="E11" s="98"/>
      <c r="F11" s="98"/>
      <c r="G11" s="98"/>
      <c r="H11" s="98"/>
      <c r="I11" s="108"/>
    </row>
    <row r="12" spans="1:9" ht="23.25" x14ac:dyDescent="0.25">
      <c r="A12" s="109" t="s">
        <v>269</v>
      </c>
      <c r="B12" s="109"/>
      <c r="C12" s="109"/>
      <c r="D12" s="109"/>
      <c r="E12" s="109"/>
      <c r="F12" s="109"/>
      <c r="G12" s="109"/>
      <c r="H12" s="109"/>
      <c r="I12" s="109"/>
    </row>
    <row r="13" spans="1:9" ht="26.25" customHeight="1" x14ac:dyDescent="0.25">
      <c r="A13" s="48" t="s">
        <v>270</v>
      </c>
      <c r="B13" s="110" t="s">
        <v>271</v>
      </c>
      <c r="C13" s="111"/>
      <c r="D13" s="49" t="s">
        <v>272</v>
      </c>
      <c r="E13" s="110" t="s">
        <v>273</v>
      </c>
      <c r="F13" s="111"/>
      <c r="G13" s="49" t="s">
        <v>274</v>
      </c>
      <c r="H13" s="110" t="s">
        <v>275</v>
      </c>
      <c r="I13" s="111"/>
    </row>
    <row r="14" spans="1:9" ht="15.75" x14ac:dyDescent="0.25">
      <c r="A14" s="50" t="s">
        <v>276</v>
      </c>
      <c r="B14" s="51" t="s">
        <v>277</v>
      </c>
      <c r="C14" s="52">
        <f>SUM('Stavební rozpočet'!AB12:AB123)</f>
        <v>0</v>
      </c>
      <c r="D14" s="118" t="s">
        <v>278</v>
      </c>
      <c r="E14" s="119"/>
      <c r="F14" s="52">
        <f>VORN!I15</f>
        <v>0</v>
      </c>
      <c r="G14" s="118" t="s">
        <v>279</v>
      </c>
      <c r="H14" s="119"/>
      <c r="I14" s="53">
        <f>VORN!I21</f>
        <v>0</v>
      </c>
    </row>
    <row r="15" spans="1:9" ht="15.75" x14ac:dyDescent="0.25">
      <c r="A15" s="54" t="s">
        <v>51</v>
      </c>
      <c r="B15" s="51" t="s">
        <v>36</v>
      </c>
      <c r="C15" s="52">
        <f>SUM('Stavební rozpočet'!AC12:AC123)</f>
        <v>0</v>
      </c>
      <c r="D15" s="118" t="s">
        <v>280</v>
      </c>
      <c r="E15" s="119"/>
      <c r="F15" s="52">
        <f>VORN!I16</f>
        <v>0</v>
      </c>
      <c r="G15" s="118" t="s">
        <v>281</v>
      </c>
      <c r="H15" s="119"/>
      <c r="I15" s="53">
        <f>VORN!I22</f>
        <v>0</v>
      </c>
    </row>
    <row r="16" spans="1:9" ht="15.75" x14ac:dyDescent="0.25">
      <c r="A16" s="50" t="s">
        <v>282</v>
      </c>
      <c r="B16" s="51" t="s">
        <v>277</v>
      </c>
      <c r="C16" s="52">
        <f>SUM('Stavební rozpočet'!AD12:AD123)</f>
        <v>0</v>
      </c>
      <c r="D16" s="118" t="s">
        <v>283</v>
      </c>
      <c r="E16" s="119"/>
      <c r="F16" s="52">
        <f>VORN!I17</f>
        <v>0</v>
      </c>
      <c r="G16" s="118" t="s">
        <v>284</v>
      </c>
      <c r="H16" s="119"/>
      <c r="I16" s="53">
        <f>VORN!I23</f>
        <v>0</v>
      </c>
    </row>
    <row r="17" spans="1:9" ht="15.75" x14ac:dyDescent="0.25">
      <c r="A17" s="54" t="s">
        <v>51</v>
      </c>
      <c r="B17" s="51" t="s">
        <v>36</v>
      </c>
      <c r="C17" s="52">
        <f>SUM('Stavební rozpočet'!AE12:AE123)</f>
        <v>0</v>
      </c>
      <c r="D17" s="118" t="s">
        <v>51</v>
      </c>
      <c r="E17" s="119"/>
      <c r="F17" s="53" t="s">
        <v>51</v>
      </c>
      <c r="G17" s="118" t="s">
        <v>285</v>
      </c>
      <c r="H17" s="119"/>
      <c r="I17" s="53">
        <f>VORN!I24</f>
        <v>0</v>
      </c>
    </row>
    <row r="18" spans="1:9" ht="15.75" x14ac:dyDescent="0.25">
      <c r="A18" s="50" t="s">
        <v>286</v>
      </c>
      <c r="B18" s="51" t="s">
        <v>277</v>
      </c>
      <c r="C18" s="52">
        <f>SUM('Stavební rozpočet'!AF12:AF123)</f>
        <v>0</v>
      </c>
      <c r="D18" s="118" t="s">
        <v>51</v>
      </c>
      <c r="E18" s="119"/>
      <c r="F18" s="53" t="s">
        <v>51</v>
      </c>
      <c r="G18" s="118" t="s">
        <v>249</v>
      </c>
      <c r="H18" s="119"/>
      <c r="I18" s="53">
        <f>VORN!I25</f>
        <v>0</v>
      </c>
    </row>
    <row r="19" spans="1:9" ht="15.75" x14ac:dyDescent="0.25">
      <c r="A19" s="54" t="s">
        <v>51</v>
      </c>
      <c r="B19" s="51" t="s">
        <v>36</v>
      </c>
      <c r="C19" s="52">
        <f>SUM('Stavební rozpočet'!AG12:AG123)</f>
        <v>0</v>
      </c>
      <c r="D19" s="118" t="s">
        <v>51</v>
      </c>
      <c r="E19" s="119"/>
      <c r="F19" s="53" t="s">
        <v>51</v>
      </c>
      <c r="G19" s="118" t="s">
        <v>287</v>
      </c>
      <c r="H19" s="119"/>
      <c r="I19" s="53">
        <f>VORN!I26</f>
        <v>0</v>
      </c>
    </row>
    <row r="20" spans="1:9" ht="15.75" x14ac:dyDescent="0.25">
      <c r="A20" s="112" t="s">
        <v>288</v>
      </c>
      <c r="B20" s="113"/>
      <c r="C20" s="52">
        <f>SUM('Stavební rozpočet'!AH12:AH123)</f>
        <v>0</v>
      </c>
      <c r="D20" s="118" t="s">
        <v>51</v>
      </c>
      <c r="E20" s="119"/>
      <c r="F20" s="53" t="s">
        <v>51</v>
      </c>
      <c r="G20" s="118" t="s">
        <v>51</v>
      </c>
      <c r="H20" s="119"/>
      <c r="I20" s="53" t="s">
        <v>51</v>
      </c>
    </row>
    <row r="21" spans="1:9" ht="15.75" x14ac:dyDescent="0.25">
      <c r="A21" s="114" t="s">
        <v>289</v>
      </c>
      <c r="B21" s="115"/>
      <c r="C21" s="55">
        <f>SUM('Stavební rozpočet'!Z12:Z123)</f>
        <v>0</v>
      </c>
      <c r="D21" s="120" t="s">
        <v>51</v>
      </c>
      <c r="E21" s="121"/>
      <c r="F21" s="56" t="s">
        <v>51</v>
      </c>
      <c r="G21" s="120" t="s">
        <v>51</v>
      </c>
      <c r="H21" s="121"/>
      <c r="I21" s="56" t="s">
        <v>51</v>
      </c>
    </row>
    <row r="22" spans="1:9" ht="16.5" customHeight="1" x14ac:dyDescent="0.25">
      <c r="A22" s="116" t="s">
        <v>290</v>
      </c>
      <c r="B22" s="117"/>
      <c r="C22" s="57">
        <f>SUM(C14:C21)</f>
        <v>0</v>
      </c>
      <c r="D22" s="122" t="s">
        <v>291</v>
      </c>
      <c r="E22" s="117"/>
      <c r="F22" s="57">
        <f>SUM(F14:F21)</f>
        <v>0</v>
      </c>
      <c r="G22" s="122" t="s">
        <v>292</v>
      </c>
      <c r="H22" s="117"/>
      <c r="I22" s="57">
        <f>SUM(I14:I21)</f>
        <v>0</v>
      </c>
    </row>
    <row r="23" spans="1:9" ht="15.75" x14ac:dyDescent="0.25">
      <c r="D23" s="112" t="s">
        <v>293</v>
      </c>
      <c r="E23" s="113"/>
      <c r="F23" s="58">
        <v>0</v>
      </c>
      <c r="G23" s="123" t="s">
        <v>294</v>
      </c>
      <c r="H23" s="113"/>
      <c r="I23" s="52">
        <v>0</v>
      </c>
    </row>
    <row r="24" spans="1:9" ht="15.75" x14ac:dyDescent="0.25">
      <c r="G24" s="112" t="s">
        <v>295</v>
      </c>
      <c r="H24" s="113"/>
      <c r="I24" s="55">
        <f>vorn_sum</f>
        <v>0</v>
      </c>
    </row>
    <row r="25" spans="1:9" ht="15.75" x14ac:dyDescent="0.25">
      <c r="G25" s="112" t="s">
        <v>296</v>
      </c>
      <c r="H25" s="113"/>
      <c r="I25" s="57">
        <v>0</v>
      </c>
    </row>
    <row r="27" spans="1:9" ht="15.75" x14ac:dyDescent="0.25">
      <c r="A27" s="124" t="s">
        <v>297</v>
      </c>
      <c r="B27" s="125"/>
      <c r="C27" s="59">
        <f>SUM('Stavební rozpočet'!AJ12:AJ123)</f>
        <v>0</v>
      </c>
    </row>
    <row r="28" spans="1:9" ht="15.75" x14ac:dyDescent="0.25">
      <c r="A28" s="126" t="s">
        <v>298</v>
      </c>
      <c r="B28" s="127"/>
      <c r="C28" s="60">
        <f>SUM('Stavební rozpočet'!AK12:AK123)</f>
        <v>0</v>
      </c>
      <c r="D28" s="128" t="s">
        <v>299</v>
      </c>
      <c r="E28" s="125"/>
      <c r="F28" s="59">
        <f>ROUND(C28*(12/100),2)</f>
        <v>0</v>
      </c>
      <c r="G28" s="128" t="s">
        <v>300</v>
      </c>
      <c r="H28" s="125"/>
      <c r="I28" s="59">
        <f>SUM(C27:C29)</f>
        <v>0</v>
      </c>
    </row>
    <row r="29" spans="1:9" ht="15.75" x14ac:dyDescent="0.25">
      <c r="A29" s="126" t="s">
        <v>301</v>
      </c>
      <c r="B29" s="127"/>
      <c r="C29" s="60">
        <f>SUM('Stavební rozpočet'!AL12:AL123)</f>
        <v>0</v>
      </c>
      <c r="D29" s="129" t="s">
        <v>302</v>
      </c>
      <c r="E29" s="127"/>
      <c r="F29" s="60">
        <f>ROUND(C29*(21/100),2)</f>
        <v>0</v>
      </c>
      <c r="G29" s="129" t="s">
        <v>303</v>
      </c>
      <c r="H29" s="127"/>
      <c r="I29" s="60">
        <f>SUM(F28:F29)+I28</f>
        <v>0</v>
      </c>
    </row>
    <row r="31" spans="1:9" x14ac:dyDescent="0.25">
      <c r="A31" s="130" t="s">
        <v>304</v>
      </c>
      <c r="B31" s="131"/>
      <c r="C31" s="132"/>
      <c r="D31" s="139" t="s">
        <v>305</v>
      </c>
      <c r="E31" s="131"/>
      <c r="F31" s="132"/>
      <c r="G31" s="139" t="s">
        <v>306</v>
      </c>
      <c r="H31" s="131"/>
      <c r="I31" s="132"/>
    </row>
    <row r="32" spans="1:9" x14ac:dyDescent="0.25">
      <c r="A32" s="133" t="s">
        <v>51</v>
      </c>
      <c r="B32" s="134"/>
      <c r="C32" s="135"/>
      <c r="D32" s="140" t="s">
        <v>51</v>
      </c>
      <c r="E32" s="134"/>
      <c r="F32" s="135"/>
      <c r="G32" s="140" t="s">
        <v>51</v>
      </c>
      <c r="H32" s="134"/>
      <c r="I32" s="135"/>
    </row>
    <row r="33" spans="1:9" x14ac:dyDescent="0.25">
      <c r="A33" s="133" t="s">
        <v>51</v>
      </c>
      <c r="B33" s="134"/>
      <c r="C33" s="135"/>
      <c r="D33" s="140" t="s">
        <v>51</v>
      </c>
      <c r="E33" s="134"/>
      <c r="F33" s="135"/>
      <c r="G33" s="140" t="s">
        <v>51</v>
      </c>
      <c r="H33" s="134"/>
      <c r="I33" s="135"/>
    </row>
    <row r="34" spans="1:9" x14ac:dyDescent="0.25">
      <c r="A34" s="133" t="s">
        <v>51</v>
      </c>
      <c r="B34" s="134"/>
      <c r="C34" s="135"/>
      <c r="D34" s="140" t="s">
        <v>51</v>
      </c>
      <c r="E34" s="134"/>
      <c r="F34" s="135"/>
      <c r="G34" s="140" t="s">
        <v>51</v>
      </c>
      <c r="H34" s="134"/>
      <c r="I34" s="135"/>
    </row>
    <row r="35" spans="1:9" x14ac:dyDescent="0.25">
      <c r="A35" s="136" t="s">
        <v>307</v>
      </c>
      <c r="B35" s="137"/>
      <c r="C35" s="138"/>
      <c r="D35" s="141" t="s">
        <v>307</v>
      </c>
      <c r="E35" s="137"/>
      <c r="F35" s="138"/>
      <c r="G35" s="141" t="s">
        <v>307</v>
      </c>
      <c r="H35" s="137"/>
      <c r="I35" s="138"/>
    </row>
    <row r="36" spans="1:9" x14ac:dyDescent="0.25">
      <c r="A36" s="61" t="s">
        <v>258</v>
      </c>
    </row>
    <row r="37" spans="1:9" ht="12.75" customHeight="1" x14ac:dyDescent="0.25">
      <c r="A37" s="79" t="s">
        <v>51</v>
      </c>
      <c r="B37" s="74"/>
      <c r="C37" s="74"/>
      <c r="D37" s="74"/>
      <c r="E37" s="74"/>
      <c r="F37" s="74"/>
      <c r="G37" s="74"/>
      <c r="H37" s="74"/>
      <c r="I37" s="74"/>
    </row>
  </sheetData>
  <mergeCells count="83">
    <mergeCell ref="A37:I37"/>
    <mergeCell ref="G31:I31"/>
    <mergeCell ref="G32:I32"/>
    <mergeCell ref="G33:I33"/>
    <mergeCell ref="G34:I34"/>
    <mergeCell ref="G35:I35"/>
    <mergeCell ref="D31:F31"/>
    <mergeCell ref="D32:F32"/>
    <mergeCell ref="D33:F33"/>
    <mergeCell ref="D34:F34"/>
    <mergeCell ref="D35:F35"/>
    <mergeCell ref="A31:C31"/>
    <mergeCell ref="A32:C32"/>
    <mergeCell ref="A33:C33"/>
    <mergeCell ref="A34:C34"/>
    <mergeCell ref="A35:C35"/>
    <mergeCell ref="G24:H24"/>
    <mergeCell ref="G25:H25"/>
    <mergeCell ref="A27:B27"/>
    <mergeCell ref="A28:B28"/>
    <mergeCell ref="A29:B29"/>
    <mergeCell ref="D28:E28"/>
    <mergeCell ref="D29:E29"/>
    <mergeCell ref="G28:H28"/>
    <mergeCell ref="G29:H29"/>
    <mergeCell ref="D23:E2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A20:B20"/>
    <mergeCell ref="A21:B21"/>
    <mergeCell ref="A22:B22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I10:I11"/>
    <mergeCell ref="A12:I12"/>
    <mergeCell ref="B13:C13"/>
    <mergeCell ref="E13:F13"/>
    <mergeCell ref="H13:I13"/>
    <mergeCell ref="F10:G11"/>
    <mergeCell ref="H2:H3"/>
    <mergeCell ref="H4:H5"/>
    <mergeCell ref="H6:H7"/>
    <mergeCell ref="H8:H9"/>
    <mergeCell ref="H10:H11"/>
    <mergeCell ref="A10:B11"/>
    <mergeCell ref="E2:E3"/>
    <mergeCell ref="E4:E5"/>
    <mergeCell ref="E6:E7"/>
    <mergeCell ref="E8:E9"/>
    <mergeCell ref="E10:E11"/>
    <mergeCell ref="C2:D3"/>
    <mergeCell ref="C4:D5"/>
    <mergeCell ref="C6:D7"/>
    <mergeCell ref="C8:D9"/>
    <mergeCell ref="C10:D11"/>
    <mergeCell ref="A1:I1"/>
    <mergeCell ref="A2:B3"/>
    <mergeCell ref="A4:B5"/>
    <mergeCell ref="A6:B7"/>
    <mergeCell ref="A8:B9"/>
    <mergeCell ref="F2:G3"/>
    <mergeCell ref="F4:G5"/>
    <mergeCell ref="F6:G7"/>
    <mergeCell ref="F8:G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A45" sqref="A45:E45"/>
    </sheetView>
  </sheetViews>
  <sheetFormatPr defaultColWidth="12.140625" defaultRowHeight="15" customHeight="1" x14ac:dyDescent="0.2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7.140625" customWidth="1"/>
    <col min="9" max="9" width="22.85546875" customWidth="1"/>
  </cols>
  <sheetData>
    <row r="1" spans="1:9" ht="54.75" customHeight="1" x14ac:dyDescent="0.25">
      <c r="A1" s="105" t="s">
        <v>239</v>
      </c>
      <c r="B1" s="70"/>
      <c r="C1" s="70"/>
      <c r="D1" s="70"/>
      <c r="E1" s="70"/>
      <c r="F1" s="70"/>
      <c r="G1" s="70"/>
      <c r="H1" s="70"/>
      <c r="I1" s="70"/>
    </row>
    <row r="2" spans="1:9" x14ac:dyDescent="0.25">
      <c r="A2" s="71" t="s">
        <v>1</v>
      </c>
      <c r="B2" s="72"/>
      <c r="C2" s="80" t="str">
        <f>'Stavební rozpočet'!C2</f>
        <v>REVITALIZACE VENKOVNÍCH ŠATEN NA MĚSTSKÉM STADIONU</v>
      </c>
      <c r="D2" s="81"/>
      <c r="E2" s="78" t="s">
        <v>5</v>
      </c>
      <c r="F2" s="78" t="str">
        <f>'Stavební rozpočet'!I2</f>
        <v>MĚSTO ŠLUKNOV</v>
      </c>
      <c r="G2" s="72"/>
      <c r="H2" s="78" t="s">
        <v>266</v>
      </c>
      <c r="I2" s="83" t="s">
        <v>51</v>
      </c>
    </row>
    <row r="3" spans="1:9" ht="15" customHeight="1" x14ac:dyDescent="0.25">
      <c r="A3" s="73"/>
      <c r="B3" s="74"/>
      <c r="C3" s="82"/>
      <c r="D3" s="82"/>
      <c r="E3" s="74"/>
      <c r="F3" s="74"/>
      <c r="G3" s="74"/>
      <c r="H3" s="74"/>
      <c r="I3" s="84"/>
    </row>
    <row r="4" spans="1:9" x14ac:dyDescent="0.25">
      <c r="A4" s="75" t="s">
        <v>7</v>
      </c>
      <c r="B4" s="74"/>
      <c r="C4" s="79" t="str">
        <f>'Stavební rozpočet'!C4</f>
        <v>ELEKTROMONTÁŽE</v>
      </c>
      <c r="D4" s="74"/>
      <c r="E4" s="79" t="s">
        <v>11</v>
      </c>
      <c r="F4" s="79" t="str">
        <f>'Stavební rozpočet'!I4</f>
        <v>LADISLAV KAŠPAR</v>
      </c>
      <c r="G4" s="74"/>
      <c r="H4" s="79" t="s">
        <v>266</v>
      </c>
      <c r="I4" s="84" t="s">
        <v>51</v>
      </c>
    </row>
    <row r="5" spans="1:9" ht="15" customHeight="1" x14ac:dyDescent="0.25">
      <c r="A5" s="73"/>
      <c r="B5" s="74"/>
      <c r="C5" s="74"/>
      <c r="D5" s="74"/>
      <c r="E5" s="74"/>
      <c r="F5" s="74"/>
      <c r="G5" s="74"/>
      <c r="H5" s="74"/>
      <c r="I5" s="84"/>
    </row>
    <row r="6" spans="1:9" x14ac:dyDescent="0.25">
      <c r="A6" s="75" t="s">
        <v>13</v>
      </c>
      <c r="B6" s="74"/>
      <c r="C6" s="79" t="str">
        <f>'Stavební rozpočet'!C6</f>
        <v>ŠLUKNOV</v>
      </c>
      <c r="D6" s="74"/>
      <c r="E6" s="79" t="s">
        <v>16</v>
      </c>
      <c r="F6" s="79" t="str">
        <f>'Stavební rozpočet'!I6</f>
        <v>BUDE VYBRÁN VÝBĚROVÝM ŘÍZENÍM</v>
      </c>
      <c r="G6" s="74"/>
      <c r="H6" s="79" t="s">
        <v>266</v>
      </c>
      <c r="I6" s="84" t="s">
        <v>51</v>
      </c>
    </row>
    <row r="7" spans="1:9" ht="15" customHeight="1" x14ac:dyDescent="0.25">
      <c r="A7" s="73"/>
      <c r="B7" s="74"/>
      <c r="C7" s="74"/>
      <c r="D7" s="74"/>
      <c r="E7" s="74"/>
      <c r="F7" s="74"/>
      <c r="G7" s="74"/>
      <c r="H7" s="74"/>
      <c r="I7" s="84"/>
    </row>
    <row r="8" spans="1:9" x14ac:dyDescent="0.25">
      <c r="A8" s="75" t="s">
        <v>9</v>
      </c>
      <c r="B8" s="74"/>
      <c r="C8" s="79" t="str">
        <f>'Stavební rozpočet'!G4</f>
        <v>10.04.2024</v>
      </c>
      <c r="D8" s="74"/>
      <c r="E8" s="79" t="s">
        <v>15</v>
      </c>
      <c r="F8" s="79" t="str">
        <f>'Stavební rozpočet'!G6</f>
        <v xml:space="preserve"> </v>
      </c>
      <c r="G8" s="74"/>
      <c r="H8" s="74" t="s">
        <v>267</v>
      </c>
      <c r="I8" s="107">
        <v>52</v>
      </c>
    </row>
    <row r="9" spans="1:9" x14ac:dyDescent="0.25">
      <c r="A9" s="73"/>
      <c r="B9" s="74"/>
      <c r="C9" s="74"/>
      <c r="D9" s="74"/>
      <c r="E9" s="74"/>
      <c r="F9" s="74"/>
      <c r="G9" s="74"/>
      <c r="H9" s="74"/>
      <c r="I9" s="84"/>
    </row>
    <row r="10" spans="1:9" x14ac:dyDescent="0.25">
      <c r="A10" s="75" t="s">
        <v>18</v>
      </c>
      <c r="B10" s="74"/>
      <c r="C10" s="79" t="str">
        <f>'Stavební rozpočet'!C8</f>
        <v xml:space="preserve"> </v>
      </c>
      <c r="D10" s="74"/>
      <c r="E10" s="79" t="s">
        <v>20</v>
      </c>
      <c r="F10" s="79" t="str">
        <f>'Stavební rozpočet'!I8</f>
        <v>IIČVDF</v>
      </c>
      <c r="G10" s="74"/>
      <c r="H10" s="74" t="s">
        <v>268</v>
      </c>
      <c r="I10" s="100" t="str">
        <f>'Stavební rozpočet'!G8</f>
        <v>10.04.2024</v>
      </c>
    </row>
    <row r="11" spans="1:9" x14ac:dyDescent="0.25">
      <c r="A11" s="106"/>
      <c r="B11" s="98"/>
      <c r="C11" s="98"/>
      <c r="D11" s="98"/>
      <c r="E11" s="98"/>
      <c r="F11" s="98"/>
      <c r="G11" s="98"/>
      <c r="H11" s="98"/>
      <c r="I11" s="108"/>
    </row>
    <row r="13" spans="1:9" ht="15.75" x14ac:dyDescent="0.25">
      <c r="A13" s="142" t="s">
        <v>308</v>
      </c>
      <c r="B13" s="142"/>
      <c r="C13" s="142"/>
      <c r="D13" s="142"/>
      <c r="E13" s="142"/>
    </row>
    <row r="14" spans="1:9" x14ac:dyDescent="0.25">
      <c r="A14" s="143" t="s">
        <v>309</v>
      </c>
      <c r="B14" s="144"/>
      <c r="C14" s="144"/>
      <c r="D14" s="144"/>
      <c r="E14" s="145"/>
      <c r="F14" s="62" t="s">
        <v>310</v>
      </c>
      <c r="G14" s="62" t="s">
        <v>311</v>
      </c>
      <c r="H14" s="62" t="s">
        <v>312</v>
      </c>
      <c r="I14" s="62" t="s">
        <v>310</v>
      </c>
    </row>
    <row r="15" spans="1:9" x14ac:dyDescent="0.25">
      <c r="A15" s="146" t="s">
        <v>278</v>
      </c>
      <c r="B15" s="147"/>
      <c r="C15" s="147"/>
      <c r="D15" s="147"/>
      <c r="E15" s="148"/>
      <c r="F15" s="63">
        <v>0</v>
      </c>
      <c r="G15" s="64" t="s">
        <v>51</v>
      </c>
      <c r="H15" s="64" t="s">
        <v>51</v>
      </c>
      <c r="I15" s="63">
        <f>F15</f>
        <v>0</v>
      </c>
    </row>
    <row r="16" spans="1:9" x14ac:dyDescent="0.25">
      <c r="A16" s="146" t="s">
        <v>280</v>
      </c>
      <c r="B16" s="147"/>
      <c r="C16" s="147"/>
      <c r="D16" s="147"/>
      <c r="E16" s="148"/>
      <c r="F16" s="63">
        <v>0</v>
      </c>
      <c r="G16" s="64" t="s">
        <v>51</v>
      </c>
      <c r="H16" s="64" t="s">
        <v>51</v>
      </c>
      <c r="I16" s="63">
        <f>F16</f>
        <v>0</v>
      </c>
    </row>
    <row r="17" spans="1:9" x14ac:dyDescent="0.25">
      <c r="A17" s="149" t="s">
        <v>283</v>
      </c>
      <c r="B17" s="150"/>
      <c r="C17" s="150"/>
      <c r="D17" s="150"/>
      <c r="E17" s="151"/>
      <c r="F17" s="65">
        <v>0</v>
      </c>
      <c r="G17" s="66" t="s">
        <v>51</v>
      </c>
      <c r="H17" s="66" t="s">
        <v>51</v>
      </c>
      <c r="I17" s="65">
        <f>F17</f>
        <v>0</v>
      </c>
    </row>
    <row r="18" spans="1:9" x14ac:dyDescent="0.25">
      <c r="A18" s="101" t="s">
        <v>313</v>
      </c>
      <c r="B18" s="152"/>
      <c r="C18" s="152"/>
      <c r="D18" s="152"/>
      <c r="E18" s="153"/>
      <c r="F18" s="67" t="s">
        <v>51</v>
      </c>
      <c r="G18" s="68" t="s">
        <v>51</v>
      </c>
      <c r="H18" s="68" t="s">
        <v>51</v>
      </c>
      <c r="I18" s="69">
        <f>SUM(I15:I17)</f>
        <v>0</v>
      </c>
    </row>
    <row r="20" spans="1:9" x14ac:dyDescent="0.25">
      <c r="A20" s="143" t="s">
        <v>275</v>
      </c>
      <c r="B20" s="144"/>
      <c r="C20" s="144"/>
      <c r="D20" s="144"/>
      <c r="E20" s="145"/>
      <c r="F20" s="62" t="s">
        <v>310</v>
      </c>
      <c r="G20" s="62" t="s">
        <v>311</v>
      </c>
      <c r="H20" s="62" t="s">
        <v>312</v>
      </c>
      <c r="I20" s="62" t="s">
        <v>310</v>
      </c>
    </row>
    <row r="21" spans="1:9" x14ac:dyDescent="0.25">
      <c r="A21" s="146" t="s">
        <v>279</v>
      </c>
      <c r="B21" s="147"/>
      <c r="C21" s="147"/>
      <c r="D21" s="147"/>
      <c r="E21" s="148"/>
      <c r="F21" s="63">
        <v>0</v>
      </c>
      <c r="G21" s="64" t="s">
        <v>51</v>
      </c>
      <c r="H21" s="64" t="s">
        <v>51</v>
      </c>
      <c r="I21" s="63">
        <f t="shared" ref="I21:I26" si="0">F21</f>
        <v>0</v>
      </c>
    </row>
    <row r="22" spans="1:9" x14ac:dyDescent="0.25">
      <c r="A22" s="146" t="s">
        <v>281</v>
      </c>
      <c r="B22" s="147"/>
      <c r="C22" s="147"/>
      <c r="D22" s="147"/>
      <c r="E22" s="148"/>
      <c r="F22" s="63">
        <v>0</v>
      </c>
      <c r="G22" s="64" t="s">
        <v>51</v>
      </c>
      <c r="H22" s="64" t="s">
        <v>51</v>
      </c>
      <c r="I22" s="63">
        <f t="shared" si="0"/>
        <v>0</v>
      </c>
    </row>
    <row r="23" spans="1:9" x14ac:dyDescent="0.25">
      <c r="A23" s="146" t="s">
        <v>284</v>
      </c>
      <c r="B23" s="147"/>
      <c r="C23" s="147"/>
      <c r="D23" s="147"/>
      <c r="E23" s="148"/>
      <c r="F23" s="63">
        <v>0</v>
      </c>
      <c r="G23" s="64" t="s">
        <v>51</v>
      </c>
      <c r="H23" s="64" t="s">
        <v>51</v>
      </c>
      <c r="I23" s="63">
        <f t="shared" si="0"/>
        <v>0</v>
      </c>
    </row>
    <row r="24" spans="1:9" x14ac:dyDescent="0.25">
      <c r="A24" s="146" t="s">
        <v>285</v>
      </c>
      <c r="B24" s="147"/>
      <c r="C24" s="147"/>
      <c r="D24" s="147"/>
      <c r="E24" s="148"/>
      <c r="F24" s="63">
        <v>0</v>
      </c>
      <c r="G24" s="64" t="s">
        <v>51</v>
      </c>
      <c r="H24" s="64" t="s">
        <v>51</v>
      </c>
      <c r="I24" s="63">
        <f t="shared" si="0"/>
        <v>0</v>
      </c>
    </row>
    <row r="25" spans="1:9" x14ac:dyDescent="0.25">
      <c r="A25" s="146" t="s">
        <v>249</v>
      </c>
      <c r="B25" s="147"/>
      <c r="C25" s="147"/>
      <c r="D25" s="147"/>
      <c r="E25" s="148"/>
      <c r="F25" s="63">
        <v>0</v>
      </c>
      <c r="G25" s="64" t="s">
        <v>51</v>
      </c>
      <c r="H25" s="64" t="s">
        <v>51</v>
      </c>
      <c r="I25" s="63">
        <f t="shared" si="0"/>
        <v>0</v>
      </c>
    </row>
    <row r="26" spans="1:9" x14ac:dyDescent="0.25">
      <c r="A26" s="149" t="s">
        <v>287</v>
      </c>
      <c r="B26" s="150"/>
      <c r="C26" s="150"/>
      <c r="D26" s="150"/>
      <c r="E26" s="151"/>
      <c r="F26" s="65">
        <v>0</v>
      </c>
      <c r="G26" s="66" t="s">
        <v>51</v>
      </c>
      <c r="H26" s="66" t="s">
        <v>51</v>
      </c>
      <c r="I26" s="65">
        <f t="shared" si="0"/>
        <v>0</v>
      </c>
    </row>
    <row r="27" spans="1:9" x14ac:dyDescent="0.25">
      <c r="A27" s="101" t="s">
        <v>314</v>
      </c>
      <c r="B27" s="152"/>
      <c r="C27" s="152"/>
      <c r="D27" s="152"/>
      <c r="E27" s="153"/>
      <c r="F27" s="67" t="s">
        <v>51</v>
      </c>
      <c r="G27" s="68" t="s">
        <v>51</v>
      </c>
      <c r="H27" s="68" t="s">
        <v>51</v>
      </c>
      <c r="I27" s="69">
        <f>SUM(I21:I26)</f>
        <v>0</v>
      </c>
    </row>
    <row r="29" spans="1:9" ht="15.75" x14ac:dyDescent="0.25">
      <c r="A29" s="154" t="s">
        <v>315</v>
      </c>
      <c r="B29" s="155"/>
      <c r="C29" s="155"/>
      <c r="D29" s="155"/>
      <c r="E29" s="156"/>
      <c r="F29" s="157">
        <f>I18+I27</f>
        <v>0</v>
      </c>
      <c r="G29" s="158"/>
      <c r="H29" s="158"/>
      <c r="I29" s="159"/>
    </row>
    <row r="33" spans="1:9" ht="15.75" x14ac:dyDescent="0.25">
      <c r="A33" s="142" t="s">
        <v>316</v>
      </c>
      <c r="B33" s="142"/>
      <c r="C33" s="142"/>
      <c r="D33" s="142"/>
      <c r="E33" s="142"/>
    </row>
    <row r="34" spans="1:9" x14ac:dyDescent="0.25">
      <c r="A34" s="143" t="s">
        <v>317</v>
      </c>
      <c r="B34" s="144"/>
      <c r="C34" s="144"/>
      <c r="D34" s="144"/>
      <c r="E34" s="145"/>
      <c r="F34" s="62" t="s">
        <v>310</v>
      </c>
      <c r="G34" s="62" t="s">
        <v>311</v>
      </c>
      <c r="H34" s="62" t="s">
        <v>312</v>
      </c>
      <c r="I34" s="62" t="s">
        <v>310</v>
      </c>
    </row>
    <row r="35" spans="1:9" x14ac:dyDescent="0.25">
      <c r="A35" s="146" t="s">
        <v>241</v>
      </c>
      <c r="B35" s="147"/>
      <c r="C35" s="147"/>
      <c r="D35" s="147"/>
      <c r="E35" s="148"/>
      <c r="F35" s="63">
        <f>SUM('Stavební rozpočet'!BM12:BM123)</f>
        <v>0</v>
      </c>
      <c r="G35" s="64" t="s">
        <v>51</v>
      </c>
      <c r="H35" s="64" t="s">
        <v>51</v>
      </c>
      <c r="I35" s="63">
        <f t="shared" ref="I35:I44" si="1">F35</f>
        <v>0</v>
      </c>
    </row>
    <row r="36" spans="1:9" x14ac:dyDescent="0.25">
      <c r="A36" s="146" t="s">
        <v>318</v>
      </c>
      <c r="B36" s="147"/>
      <c r="C36" s="147"/>
      <c r="D36" s="147"/>
      <c r="E36" s="148"/>
      <c r="F36" s="63">
        <f>SUM('Stavební rozpočet'!BN12:BN123)</f>
        <v>0</v>
      </c>
      <c r="G36" s="64" t="s">
        <v>51</v>
      </c>
      <c r="H36" s="64" t="s">
        <v>51</v>
      </c>
      <c r="I36" s="63">
        <f t="shared" si="1"/>
        <v>0</v>
      </c>
    </row>
    <row r="37" spans="1:9" x14ac:dyDescent="0.25">
      <c r="A37" s="146" t="s">
        <v>279</v>
      </c>
      <c r="B37" s="147"/>
      <c r="C37" s="147"/>
      <c r="D37" s="147"/>
      <c r="E37" s="148"/>
      <c r="F37" s="63">
        <f>SUM('Stavební rozpočet'!BO12:BO123)</f>
        <v>0</v>
      </c>
      <c r="G37" s="64" t="s">
        <v>51</v>
      </c>
      <c r="H37" s="64" t="s">
        <v>51</v>
      </c>
      <c r="I37" s="63">
        <f t="shared" si="1"/>
        <v>0</v>
      </c>
    </row>
    <row r="38" spans="1:9" x14ac:dyDescent="0.25">
      <c r="A38" s="146" t="s">
        <v>319</v>
      </c>
      <c r="B38" s="147"/>
      <c r="C38" s="147"/>
      <c r="D38" s="147"/>
      <c r="E38" s="148"/>
      <c r="F38" s="63">
        <f>SUM('Stavební rozpočet'!BP12:BP123)</f>
        <v>0</v>
      </c>
      <c r="G38" s="64" t="s">
        <v>51</v>
      </c>
      <c r="H38" s="64" t="s">
        <v>51</v>
      </c>
      <c r="I38" s="63">
        <f t="shared" si="1"/>
        <v>0</v>
      </c>
    </row>
    <row r="39" spans="1:9" x14ac:dyDescent="0.25">
      <c r="A39" s="146" t="s">
        <v>320</v>
      </c>
      <c r="B39" s="147"/>
      <c r="C39" s="147"/>
      <c r="D39" s="147"/>
      <c r="E39" s="148"/>
      <c r="F39" s="63">
        <f>SUM('Stavební rozpočet'!BQ12:BQ123)</f>
        <v>0</v>
      </c>
      <c r="G39" s="64" t="s">
        <v>51</v>
      </c>
      <c r="H39" s="64" t="s">
        <v>51</v>
      </c>
      <c r="I39" s="63">
        <f t="shared" si="1"/>
        <v>0</v>
      </c>
    </row>
    <row r="40" spans="1:9" x14ac:dyDescent="0.25">
      <c r="A40" s="146" t="s">
        <v>284</v>
      </c>
      <c r="B40" s="147"/>
      <c r="C40" s="147"/>
      <c r="D40" s="147"/>
      <c r="E40" s="148"/>
      <c r="F40" s="63">
        <f>SUM('Stavební rozpočet'!BR12:BR123)</f>
        <v>0</v>
      </c>
      <c r="G40" s="64" t="s">
        <v>51</v>
      </c>
      <c r="H40" s="64" t="s">
        <v>51</v>
      </c>
      <c r="I40" s="63">
        <f t="shared" si="1"/>
        <v>0</v>
      </c>
    </row>
    <row r="41" spans="1:9" x14ac:dyDescent="0.25">
      <c r="A41" s="146" t="s">
        <v>285</v>
      </c>
      <c r="B41" s="147"/>
      <c r="C41" s="147"/>
      <c r="D41" s="147"/>
      <c r="E41" s="148"/>
      <c r="F41" s="63">
        <f>SUM('Stavební rozpočet'!BS12:BS123)</f>
        <v>0</v>
      </c>
      <c r="G41" s="64" t="s">
        <v>51</v>
      </c>
      <c r="H41" s="64" t="s">
        <v>51</v>
      </c>
      <c r="I41" s="63">
        <f t="shared" si="1"/>
        <v>0</v>
      </c>
    </row>
    <row r="42" spans="1:9" x14ac:dyDescent="0.25">
      <c r="A42" s="146" t="s">
        <v>321</v>
      </c>
      <c r="B42" s="147"/>
      <c r="C42" s="147"/>
      <c r="D42" s="147"/>
      <c r="E42" s="148"/>
      <c r="F42" s="63">
        <f>SUM('Stavební rozpočet'!BT12:BT123)</f>
        <v>0</v>
      </c>
      <c r="G42" s="64" t="s">
        <v>51</v>
      </c>
      <c r="H42" s="64" t="s">
        <v>51</v>
      </c>
      <c r="I42" s="63">
        <f t="shared" si="1"/>
        <v>0</v>
      </c>
    </row>
    <row r="43" spans="1:9" x14ac:dyDescent="0.25">
      <c r="A43" s="146" t="s">
        <v>322</v>
      </c>
      <c r="B43" s="147"/>
      <c r="C43" s="147"/>
      <c r="D43" s="147"/>
      <c r="E43" s="148"/>
      <c r="F43" s="63">
        <f>SUM('Stavební rozpočet'!BU12:BU123)</f>
        <v>0</v>
      </c>
      <c r="G43" s="64" t="s">
        <v>51</v>
      </c>
      <c r="H43" s="64" t="s">
        <v>51</v>
      </c>
      <c r="I43" s="63">
        <f t="shared" si="1"/>
        <v>0</v>
      </c>
    </row>
    <row r="44" spans="1:9" x14ac:dyDescent="0.25">
      <c r="A44" s="149" t="s">
        <v>323</v>
      </c>
      <c r="B44" s="150"/>
      <c r="C44" s="150"/>
      <c r="D44" s="150"/>
      <c r="E44" s="151"/>
      <c r="F44" s="65">
        <f>SUM('Stavební rozpočet'!BV12:BV123)</f>
        <v>0</v>
      </c>
      <c r="G44" s="66" t="s">
        <v>51</v>
      </c>
      <c r="H44" s="66" t="s">
        <v>51</v>
      </c>
      <c r="I44" s="65">
        <f t="shared" si="1"/>
        <v>0</v>
      </c>
    </row>
    <row r="45" spans="1:9" x14ac:dyDescent="0.25">
      <c r="A45" s="101" t="s">
        <v>324</v>
      </c>
      <c r="B45" s="152"/>
      <c r="C45" s="152"/>
      <c r="D45" s="152"/>
      <c r="E45" s="153"/>
      <c r="F45" s="67" t="s">
        <v>51</v>
      </c>
      <c r="G45" s="68" t="s">
        <v>51</v>
      </c>
      <c r="H45" s="68" t="s">
        <v>51</v>
      </c>
      <c r="I45" s="69">
        <f>SUM(I35:I44)</f>
        <v>0</v>
      </c>
    </row>
  </sheetData>
  <mergeCells count="60">
    <mergeCell ref="A41:E41"/>
    <mergeCell ref="A42:E42"/>
    <mergeCell ref="A43:E43"/>
    <mergeCell ref="A44:E44"/>
    <mergeCell ref="A45:E45"/>
    <mergeCell ref="A36:E36"/>
    <mergeCell ref="A37:E37"/>
    <mergeCell ref="A38:E38"/>
    <mergeCell ref="A39:E39"/>
    <mergeCell ref="A40:E40"/>
    <mergeCell ref="A29:E29"/>
    <mergeCell ref="F29:I29"/>
    <mergeCell ref="A33:E33"/>
    <mergeCell ref="A34:E34"/>
    <mergeCell ref="A35:E35"/>
    <mergeCell ref="A23:E23"/>
    <mergeCell ref="A24:E24"/>
    <mergeCell ref="A25:E25"/>
    <mergeCell ref="A26:E26"/>
    <mergeCell ref="A27:E27"/>
    <mergeCell ref="A17:E17"/>
    <mergeCell ref="A18:E18"/>
    <mergeCell ref="A20:E20"/>
    <mergeCell ref="A21:E21"/>
    <mergeCell ref="A22:E22"/>
    <mergeCell ref="I10:I11"/>
    <mergeCell ref="A13:E13"/>
    <mergeCell ref="A14:E14"/>
    <mergeCell ref="A15:E15"/>
    <mergeCell ref="A16:E16"/>
    <mergeCell ref="H10:H11"/>
    <mergeCell ref="C2:D3"/>
    <mergeCell ref="C4:D5"/>
    <mergeCell ref="C6:D7"/>
    <mergeCell ref="C8:D9"/>
    <mergeCell ref="C10:D11"/>
    <mergeCell ref="F2:G3"/>
    <mergeCell ref="F4:G5"/>
    <mergeCell ref="F6:G7"/>
    <mergeCell ref="F8:G9"/>
    <mergeCell ref="F10:G11"/>
    <mergeCell ref="A10:B11"/>
    <mergeCell ref="E2:E3"/>
    <mergeCell ref="E4:E5"/>
    <mergeCell ref="E6:E7"/>
    <mergeCell ref="E8:E9"/>
    <mergeCell ref="E10:E11"/>
    <mergeCell ref="A1:I1"/>
    <mergeCell ref="A2:B3"/>
    <mergeCell ref="A4:B5"/>
    <mergeCell ref="A6:B7"/>
    <mergeCell ref="A8:B9"/>
    <mergeCell ref="H2:H3"/>
    <mergeCell ref="H4:H5"/>
    <mergeCell ref="H6:H7"/>
    <mergeCell ref="H8:H9"/>
    <mergeCell ref="I2:I3"/>
    <mergeCell ref="I4:I5"/>
    <mergeCell ref="I6:I7"/>
    <mergeCell ref="I8:I9"/>
  </mergeCells>
  <pageMargins left="0.393999993801117" right="0.393999993801117" top="0.59100002050399802" bottom="0.59100002050399802" header="0" footer="0"/>
  <pageSetup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Stavební rozpočet</vt:lpstr>
      <vt:lpstr>Stavební rozpočet - součet</vt:lpstr>
      <vt:lpstr>Krycí list rozpočtu</vt:lpstr>
      <vt:lpstr>VORN</vt:lpstr>
      <vt:lpstr>vorn_sum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jiří trojan</cp:lastModifiedBy>
  <dcterms:created xsi:type="dcterms:W3CDTF">2021-06-10T20:06:38Z</dcterms:created>
  <dcterms:modified xsi:type="dcterms:W3CDTF">2024-04-11T07:09:46Z</dcterms:modified>
</cp:coreProperties>
</file>