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3ca05e84f73388/Zakázky Já/2025/10_ROZPOČET_ŠLUKNOV/ROZPOČET/"/>
    </mc:Choice>
  </mc:AlternateContent>
  <xr:revisionPtr revIDLastSave="8" documentId="11_5C99A8E1BBD38E4B6C0B68195F88B4D7C67F56AF" xr6:coauthVersionLast="47" xr6:coauthVersionMax="47" xr10:uidLastSave="{68DCFE0B-F8CE-4EEA-AA40-4B13B7895067}"/>
  <bookViews>
    <workbookView xWindow="-120" yWindow="-120" windowWidth="29040" windowHeight="15720" activeTab="1" xr2:uid="{00000000-000D-0000-FFFF-FFFF00000000}"/>
  </bookViews>
  <sheets>
    <sheet name="Krycí list rozpočtu" sheetId="1" r:id="rId1"/>
    <sheet name="VORN" sheetId="2" r:id="rId2"/>
    <sheet name="Rozpočet - objekty" sheetId="3" r:id="rId3"/>
    <sheet name="Stavební rozpočet" sheetId="4" r:id="rId4"/>
  </sheets>
  <definedNames>
    <definedName name="vorn_sum">VORN!$I$45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BJ1637" i="4" l="1"/>
  <c r="BF1637" i="4"/>
  <c r="BD1637" i="4"/>
  <c r="AP1637" i="4"/>
  <c r="BI1637" i="4" s="1"/>
  <c r="AE1637" i="4" s="1"/>
  <c r="AO1637" i="4"/>
  <c r="BH1637" i="4" s="1"/>
  <c r="AD1637" i="4" s="1"/>
  <c r="AK1637" i="4"/>
  <c r="AJ1637" i="4"/>
  <c r="AH1637" i="4"/>
  <c r="AG1637" i="4"/>
  <c r="AF1637" i="4"/>
  <c r="AC1637" i="4"/>
  <c r="AB1637" i="4"/>
  <c r="Z1637" i="4"/>
  <c r="I1637" i="4"/>
  <c r="AL1637" i="4" s="1"/>
  <c r="BJ1635" i="4"/>
  <c r="BF1635" i="4"/>
  <c r="BD1635" i="4"/>
  <c r="AW1635" i="4"/>
  <c r="AP1635" i="4"/>
  <c r="BI1635" i="4" s="1"/>
  <c r="AE1635" i="4" s="1"/>
  <c r="AO1635" i="4"/>
  <c r="BH1635" i="4" s="1"/>
  <c r="AD1635" i="4" s="1"/>
  <c r="AK1635" i="4"/>
  <c r="AJ1635" i="4"/>
  <c r="AH1635" i="4"/>
  <c r="AG1635" i="4"/>
  <c r="AF1635" i="4"/>
  <c r="AC1635" i="4"/>
  <c r="AB1635" i="4"/>
  <c r="Z1635" i="4"/>
  <c r="I1635" i="4"/>
  <c r="AL1635" i="4" s="1"/>
  <c r="BJ1633" i="4"/>
  <c r="BF1633" i="4"/>
  <c r="BD1633" i="4"/>
  <c r="AX1633" i="4"/>
  <c r="AP1633" i="4"/>
  <c r="BI1633" i="4" s="1"/>
  <c r="AE1633" i="4" s="1"/>
  <c r="AO1633" i="4"/>
  <c r="BH1633" i="4" s="1"/>
  <c r="AK1633" i="4"/>
  <c r="AJ1633" i="4"/>
  <c r="AH1633" i="4"/>
  <c r="AG1633" i="4"/>
  <c r="AF1633" i="4"/>
  <c r="AD1633" i="4"/>
  <c r="AC1633" i="4"/>
  <c r="AB1633" i="4"/>
  <c r="Z1633" i="4"/>
  <c r="I1633" i="4"/>
  <c r="AL1633" i="4" s="1"/>
  <c r="BJ1631" i="4"/>
  <c r="BF1631" i="4"/>
  <c r="BD1631" i="4"/>
  <c r="AP1631" i="4"/>
  <c r="AX1631" i="4" s="1"/>
  <c r="AO1631" i="4"/>
  <c r="BH1631" i="4" s="1"/>
  <c r="AD1631" i="4" s="1"/>
  <c r="AK1631" i="4"/>
  <c r="AJ1631" i="4"/>
  <c r="AH1631" i="4"/>
  <c r="AG1631" i="4"/>
  <c r="AF1631" i="4"/>
  <c r="AC1631" i="4"/>
  <c r="AB1631" i="4"/>
  <c r="Z1631" i="4"/>
  <c r="I1631" i="4"/>
  <c r="AL1631" i="4" s="1"/>
  <c r="BJ1629" i="4"/>
  <c r="BI1629" i="4"/>
  <c r="BF1629" i="4"/>
  <c r="BD1629" i="4"/>
  <c r="AX1629" i="4"/>
  <c r="AP1629" i="4"/>
  <c r="AO1629" i="4"/>
  <c r="AW1629" i="4" s="1"/>
  <c r="AL1629" i="4"/>
  <c r="AK1629" i="4"/>
  <c r="AJ1629" i="4"/>
  <c r="AH1629" i="4"/>
  <c r="AG1629" i="4"/>
  <c r="AF1629" i="4"/>
  <c r="AE1629" i="4"/>
  <c r="AC1629" i="4"/>
  <c r="AB1629" i="4"/>
  <c r="Z1629" i="4"/>
  <c r="I1629" i="4"/>
  <c r="I1626" i="4" s="1"/>
  <c r="BJ1627" i="4"/>
  <c r="BH1627" i="4"/>
  <c r="BF1627" i="4"/>
  <c r="BD1627" i="4"/>
  <c r="AW1627" i="4"/>
  <c r="AP1627" i="4"/>
  <c r="AO1627" i="4"/>
  <c r="AL1627" i="4"/>
  <c r="AK1627" i="4"/>
  <c r="AT1626" i="4" s="1"/>
  <c r="AJ1627" i="4"/>
  <c r="AH1627" i="4"/>
  <c r="AG1627" i="4"/>
  <c r="AF1627" i="4"/>
  <c r="AD1627" i="4"/>
  <c r="AC1627" i="4"/>
  <c r="AB1627" i="4"/>
  <c r="Z1627" i="4"/>
  <c r="I1627" i="4"/>
  <c r="AS1626" i="4"/>
  <c r="BJ1624" i="4"/>
  <c r="BI1624" i="4"/>
  <c r="AE1624" i="4" s="1"/>
  <c r="BH1624" i="4"/>
  <c r="BF1624" i="4"/>
  <c r="BD1624" i="4"/>
  <c r="AP1624" i="4"/>
  <c r="AX1624" i="4" s="1"/>
  <c r="AO1624" i="4"/>
  <c r="AW1624" i="4" s="1"/>
  <c r="AK1624" i="4"/>
  <c r="AT1623" i="4" s="1"/>
  <c r="AJ1624" i="4"/>
  <c r="AH1624" i="4"/>
  <c r="AG1624" i="4"/>
  <c r="AF1624" i="4"/>
  <c r="AD1624" i="4"/>
  <c r="AC1624" i="4"/>
  <c r="AB1624" i="4"/>
  <c r="Z1624" i="4"/>
  <c r="I1624" i="4"/>
  <c r="AL1624" i="4" s="1"/>
  <c r="AU1623" i="4" s="1"/>
  <c r="AS1623" i="4"/>
  <c r="I1623" i="4"/>
  <c r="BJ1621" i="4"/>
  <c r="BF1621" i="4"/>
  <c r="BD1621" i="4"/>
  <c r="AP1621" i="4"/>
  <c r="AO1621" i="4"/>
  <c r="AK1621" i="4"/>
  <c r="AJ1621" i="4"/>
  <c r="AH1621" i="4"/>
  <c r="AG1621" i="4"/>
  <c r="AF1621" i="4"/>
  <c r="AE1621" i="4"/>
  <c r="AD1621" i="4"/>
  <c r="AC1621" i="4"/>
  <c r="AB1621" i="4"/>
  <c r="Z1621" i="4"/>
  <c r="I1621" i="4"/>
  <c r="AL1621" i="4" s="1"/>
  <c r="BJ1619" i="4"/>
  <c r="Z1619" i="4" s="1"/>
  <c r="BI1619" i="4"/>
  <c r="BF1619" i="4"/>
  <c r="BD1619" i="4"/>
  <c r="AX1619" i="4"/>
  <c r="AW1619" i="4"/>
  <c r="AP1619" i="4"/>
  <c r="AO1619" i="4"/>
  <c r="BH1619" i="4" s="1"/>
  <c r="AL1619" i="4"/>
  <c r="AK1619" i="4"/>
  <c r="AJ1619" i="4"/>
  <c r="AH1619" i="4"/>
  <c r="AG1619" i="4"/>
  <c r="AF1619" i="4"/>
  <c r="AE1619" i="4"/>
  <c r="AD1619" i="4"/>
  <c r="AC1619" i="4"/>
  <c r="AB1619" i="4"/>
  <c r="I1619" i="4"/>
  <c r="BJ1617" i="4"/>
  <c r="Z1617" i="4" s="1"/>
  <c r="BI1617" i="4"/>
  <c r="BH1617" i="4"/>
  <c r="BF1617" i="4"/>
  <c r="BD1617" i="4"/>
  <c r="AW1617" i="4"/>
  <c r="AP1617" i="4"/>
  <c r="AX1617" i="4" s="1"/>
  <c r="BC1617" i="4" s="1"/>
  <c r="AO1617" i="4"/>
  <c r="AL1617" i="4"/>
  <c r="AK1617" i="4"/>
  <c r="AJ1617" i="4"/>
  <c r="AH1617" i="4"/>
  <c r="AG1617" i="4"/>
  <c r="AF1617" i="4"/>
  <c r="AE1617" i="4"/>
  <c r="AD1617" i="4"/>
  <c r="AC1617" i="4"/>
  <c r="AB1617" i="4"/>
  <c r="I1617" i="4"/>
  <c r="AT1616" i="4"/>
  <c r="I1616" i="4"/>
  <c r="BJ1614" i="4"/>
  <c r="BH1614" i="4"/>
  <c r="AF1614" i="4" s="1"/>
  <c r="BF1614" i="4"/>
  <c r="BD1614" i="4"/>
  <c r="AP1614" i="4"/>
  <c r="AO1614" i="4"/>
  <c r="AW1614" i="4" s="1"/>
  <c r="AK1614" i="4"/>
  <c r="AJ1614" i="4"/>
  <c r="AH1614" i="4"/>
  <c r="AE1614" i="4"/>
  <c r="AD1614" i="4"/>
  <c r="AC1614" i="4"/>
  <c r="AB1614" i="4"/>
  <c r="Z1614" i="4"/>
  <c r="I1614" i="4"/>
  <c r="AL1614" i="4" s="1"/>
  <c r="AU1613" i="4" s="1"/>
  <c r="AT1613" i="4"/>
  <c r="AS1613" i="4"/>
  <c r="I1613" i="4"/>
  <c r="BJ1611" i="4"/>
  <c r="BI1611" i="4"/>
  <c r="AG1611" i="4" s="1"/>
  <c r="BH1611" i="4"/>
  <c r="AF1611" i="4" s="1"/>
  <c r="BF1611" i="4"/>
  <c r="BD1611" i="4"/>
  <c r="AX1611" i="4"/>
  <c r="AW1611" i="4"/>
  <c r="BC1611" i="4" s="1"/>
  <c r="AP1611" i="4"/>
  <c r="AO1611" i="4"/>
  <c r="AL1611" i="4"/>
  <c r="AU1610" i="4" s="1"/>
  <c r="AK1611" i="4"/>
  <c r="AJ1611" i="4"/>
  <c r="AH1611" i="4"/>
  <c r="AE1611" i="4"/>
  <c r="AD1611" i="4"/>
  <c r="AC1611" i="4"/>
  <c r="AB1611" i="4"/>
  <c r="Z1611" i="4"/>
  <c r="I1611" i="4"/>
  <c r="AT1610" i="4"/>
  <c r="AS1610" i="4"/>
  <c r="I1610" i="4"/>
  <c r="BJ1609" i="4"/>
  <c r="Z1609" i="4" s="1"/>
  <c r="BI1609" i="4"/>
  <c r="BH1609" i="4"/>
  <c r="BF1609" i="4"/>
  <c r="BD1609" i="4"/>
  <c r="AX1609" i="4"/>
  <c r="AP1609" i="4"/>
  <c r="AO1609" i="4"/>
  <c r="AW1609" i="4" s="1"/>
  <c r="BC1609" i="4" s="1"/>
  <c r="AL1609" i="4"/>
  <c r="AU1608" i="4" s="1"/>
  <c r="AK1609" i="4"/>
  <c r="AJ1609" i="4"/>
  <c r="AH1609" i="4"/>
  <c r="AG1609" i="4"/>
  <c r="AF1609" i="4"/>
  <c r="AE1609" i="4"/>
  <c r="AD1609" i="4"/>
  <c r="AC1609" i="4"/>
  <c r="AB1609" i="4"/>
  <c r="I1609" i="4"/>
  <c r="AT1608" i="4"/>
  <c r="AS1608" i="4"/>
  <c r="I1608" i="4"/>
  <c r="BJ1607" i="4"/>
  <c r="Z1607" i="4" s="1"/>
  <c r="BI1607" i="4"/>
  <c r="BH1607" i="4"/>
  <c r="BF1607" i="4"/>
  <c r="BD1607" i="4"/>
  <c r="BC1607" i="4"/>
  <c r="AW1607" i="4"/>
  <c r="AP1607" i="4"/>
  <c r="AX1607" i="4" s="1"/>
  <c r="AV1607" i="4" s="1"/>
  <c r="AO1607" i="4"/>
  <c r="AL1607" i="4"/>
  <c r="AK1607" i="4"/>
  <c r="AT1606" i="4" s="1"/>
  <c r="AJ1607" i="4"/>
  <c r="AS1606" i="4" s="1"/>
  <c r="AH1607" i="4"/>
  <c r="AG1607" i="4"/>
  <c r="AF1607" i="4"/>
  <c r="AE1607" i="4"/>
  <c r="AD1607" i="4"/>
  <c r="AC1607" i="4"/>
  <c r="AB1607" i="4"/>
  <c r="I1607" i="4"/>
  <c r="AU1606" i="4"/>
  <c r="I1606" i="4"/>
  <c r="BJ1605" i="4"/>
  <c r="BH1605" i="4"/>
  <c r="BF1605" i="4"/>
  <c r="BD1605" i="4"/>
  <c r="AP1605" i="4"/>
  <c r="AO1605" i="4"/>
  <c r="AW1605" i="4" s="1"/>
  <c r="AL1605" i="4"/>
  <c r="AK1605" i="4"/>
  <c r="AJ1605" i="4"/>
  <c r="AH1605" i="4"/>
  <c r="AG1605" i="4"/>
  <c r="AF1605" i="4"/>
  <c r="AE1605" i="4"/>
  <c r="AD1605" i="4"/>
  <c r="AC1605" i="4"/>
  <c r="AB1605" i="4"/>
  <c r="Z1605" i="4"/>
  <c r="I1605" i="4"/>
  <c r="AU1604" i="4"/>
  <c r="AT1604" i="4"/>
  <c r="AS1604" i="4"/>
  <c r="I1604" i="4"/>
  <c r="BJ1602" i="4"/>
  <c r="BI1602" i="4"/>
  <c r="AG1602" i="4" s="1"/>
  <c r="BH1602" i="4"/>
  <c r="AF1602" i="4" s="1"/>
  <c r="BF1602" i="4"/>
  <c r="BD1602" i="4"/>
  <c r="AX1602" i="4"/>
  <c r="AW1602" i="4"/>
  <c r="BC1602" i="4" s="1"/>
  <c r="AV1602" i="4"/>
  <c r="AP1602" i="4"/>
  <c r="AO1602" i="4"/>
  <c r="AL1602" i="4"/>
  <c r="AK1602" i="4"/>
  <c r="AJ1602" i="4"/>
  <c r="AH1602" i="4"/>
  <c r="AE1602" i="4"/>
  <c r="AD1602" i="4"/>
  <c r="AC1602" i="4"/>
  <c r="AB1602" i="4"/>
  <c r="Z1602" i="4"/>
  <c r="I1602" i="4"/>
  <c r="BJ1598" i="4"/>
  <c r="BH1598" i="4"/>
  <c r="BF1598" i="4"/>
  <c r="BD1598" i="4"/>
  <c r="AX1598" i="4"/>
  <c r="AW1598" i="4"/>
  <c r="AV1598" i="4" s="1"/>
  <c r="AP1598" i="4"/>
  <c r="BI1598" i="4" s="1"/>
  <c r="AC1598" i="4" s="1"/>
  <c r="AO1598" i="4"/>
  <c r="AL1598" i="4"/>
  <c r="AK1598" i="4"/>
  <c r="AJ1598" i="4"/>
  <c r="AH1598" i="4"/>
  <c r="AG1598" i="4"/>
  <c r="AF1598" i="4"/>
  <c r="AE1598" i="4"/>
  <c r="AD1598" i="4"/>
  <c r="AB1598" i="4"/>
  <c r="Z1598" i="4"/>
  <c r="I1598" i="4"/>
  <c r="BJ1595" i="4"/>
  <c r="BF1595" i="4"/>
  <c r="BD1595" i="4"/>
  <c r="AP1595" i="4"/>
  <c r="AX1595" i="4" s="1"/>
  <c r="AO1595" i="4"/>
  <c r="AK1595" i="4"/>
  <c r="AJ1595" i="4"/>
  <c r="AS1592" i="4" s="1"/>
  <c r="AH1595" i="4"/>
  <c r="AG1595" i="4"/>
  <c r="AF1595" i="4"/>
  <c r="AE1595" i="4"/>
  <c r="AD1595" i="4"/>
  <c r="Z1595" i="4"/>
  <c r="I1595" i="4"/>
  <c r="AL1595" i="4" s="1"/>
  <c r="BJ1593" i="4"/>
  <c r="BF1593" i="4"/>
  <c r="BD1593" i="4"/>
  <c r="AP1593" i="4"/>
  <c r="AO1593" i="4"/>
  <c r="AK1593" i="4"/>
  <c r="AJ1593" i="4"/>
  <c r="AH1593" i="4"/>
  <c r="AG1593" i="4"/>
  <c r="AF1593" i="4"/>
  <c r="AE1593" i="4"/>
  <c r="AD1593" i="4"/>
  <c r="Z1593" i="4"/>
  <c r="I1593" i="4"/>
  <c r="AL1593" i="4" s="1"/>
  <c r="AU1592" i="4"/>
  <c r="BJ1589" i="4"/>
  <c r="BI1589" i="4"/>
  <c r="BH1589" i="4"/>
  <c r="AB1589" i="4" s="1"/>
  <c r="BF1589" i="4"/>
  <c r="BD1589" i="4"/>
  <c r="AX1589" i="4"/>
  <c r="BC1589" i="4" s="1"/>
  <c r="AW1589" i="4"/>
  <c r="AP1589" i="4"/>
  <c r="AO1589" i="4"/>
  <c r="AL1589" i="4"/>
  <c r="AK1589" i="4"/>
  <c r="AJ1589" i="4"/>
  <c r="AH1589" i="4"/>
  <c r="AG1589" i="4"/>
  <c r="AF1589" i="4"/>
  <c r="AE1589" i="4"/>
  <c r="AD1589" i="4"/>
  <c r="AC1589" i="4"/>
  <c r="Z1589" i="4"/>
  <c r="I1589" i="4"/>
  <c r="AU1588" i="4"/>
  <c r="AT1588" i="4"/>
  <c r="AS1588" i="4"/>
  <c r="I1588" i="4"/>
  <c r="BJ1586" i="4"/>
  <c r="BI1586" i="4"/>
  <c r="BF1586" i="4"/>
  <c r="BD1586" i="4"/>
  <c r="AX1586" i="4"/>
  <c r="AV1586" i="4"/>
  <c r="AP1586" i="4"/>
  <c r="AO1586" i="4"/>
  <c r="AW1586" i="4" s="1"/>
  <c r="BC1586" i="4" s="1"/>
  <c r="AL1586" i="4"/>
  <c r="AK1586" i="4"/>
  <c r="AJ1586" i="4"/>
  <c r="AH1586" i="4"/>
  <c r="AG1586" i="4"/>
  <c r="AF1586" i="4"/>
  <c r="AE1586" i="4"/>
  <c r="AD1586" i="4"/>
  <c r="AC1586" i="4"/>
  <c r="Z1586" i="4"/>
  <c r="I1586" i="4"/>
  <c r="BJ1584" i="4"/>
  <c r="BH1584" i="4"/>
  <c r="BF1584" i="4"/>
  <c r="BD1584" i="4"/>
  <c r="AX1584" i="4"/>
  <c r="AV1584" i="4" s="1"/>
  <c r="AW1584" i="4"/>
  <c r="AP1584" i="4"/>
  <c r="BI1584" i="4" s="1"/>
  <c r="AC1584" i="4" s="1"/>
  <c r="AO1584" i="4"/>
  <c r="AL1584" i="4"/>
  <c r="AK1584" i="4"/>
  <c r="AJ1584" i="4"/>
  <c r="AH1584" i="4"/>
  <c r="AG1584" i="4"/>
  <c r="AF1584" i="4"/>
  <c r="AE1584" i="4"/>
  <c r="AD1584" i="4"/>
  <c r="AB1584" i="4"/>
  <c r="Z1584" i="4"/>
  <c r="I1584" i="4"/>
  <c r="BJ1582" i="4"/>
  <c r="BI1582" i="4"/>
  <c r="AC1582" i="4" s="1"/>
  <c r="BF1582" i="4"/>
  <c r="BD1582" i="4"/>
  <c r="AX1582" i="4"/>
  <c r="AW1582" i="4"/>
  <c r="AP1582" i="4"/>
  <c r="AO1582" i="4"/>
  <c r="BH1582" i="4" s="1"/>
  <c r="AB1582" i="4" s="1"/>
  <c r="AK1582" i="4"/>
  <c r="AJ1582" i="4"/>
  <c r="AH1582" i="4"/>
  <c r="AG1582" i="4"/>
  <c r="AF1582" i="4"/>
  <c r="AE1582" i="4"/>
  <c r="AD1582" i="4"/>
  <c r="Z1582" i="4"/>
  <c r="I1582" i="4"/>
  <c r="AL1582" i="4" s="1"/>
  <c r="BJ1580" i="4"/>
  <c r="BI1580" i="4"/>
  <c r="BH1580" i="4"/>
  <c r="AB1580" i="4" s="1"/>
  <c r="BF1580" i="4"/>
  <c r="BD1580" i="4"/>
  <c r="AX1580" i="4"/>
  <c r="AW1580" i="4"/>
  <c r="AP1580" i="4"/>
  <c r="AO1580" i="4"/>
  <c r="AL1580" i="4"/>
  <c r="AK1580" i="4"/>
  <c r="AJ1580" i="4"/>
  <c r="AH1580" i="4"/>
  <c r="AG1580" i="4"/>
  <c r="AF1580" i="4"/>
  <c r="AE1580" i="4"/>
  <c r="AD1580" i="4"/>
  <c r="AC1580" i="4"/>
  <c r="Z1580" i="4"/>
  <c r="I1580" i="4"/>
  <c r="BJ1577" i="4"/>
  <c r="BH1577" i="4"/>
  <c r="BF1577" i="4"/>
  <c r="BD1577" i="4"/>
  <c r="AW1577" i="4"/>
  <c r="AP1577" i="4"/>
  <c r="AO1577" i="4"/>
  <c r="AL1577" i="4"/>
  <c r="AK1577" i="4"/>
  <c r="AJ1577" i="4"/>
  <c r="AH1577" i="4"/>
  <c r="AG1577" i="4"/>
  <c r="AF1577" i="4"/>
  <c r="AE1577" i="4"/>
  <c r="AD1577" i="4"/>
  <c r="AB1577" i="4"/>
  <c r="Z1577" i="4"/>
  <c r="I1577" i="4"/>
  <c r="BJ1574" i="4"/>
  <c r="BI1574" i="4"/>
  <c r="BF1574" i="4"/>
  <c r="BD1574" i="4"/>
  <c r="AP1574" i="4"/>
  <c r="AX1574" i="4" s="1"/>
  <c r="AO1574" i="4"/>
  <c r="BH1574" i="4" s="1"/>
  <c r="AB1574" i="4" s="1"/>
  <c r="AK1574" i="4"/>
  <c r="AJ1574" i="4"/>
  <c r="AS1570" i="4" s="1"/>
  <c r="AH1574" i="4"/>
  <c r="AG1574" i="4"/>
  <c r="AF1574" i="4"/>
  <c r="AE1574" i="4"/>
  <c r="AD1574" i="4"/>
  <c r="AC1574" i="4"/>
  <c r="Z1574" i="4"/>
  <c r="I1574" i="4"/>
  <c r="AL1574" i="4" s="1"/>
  <c r="BJ1571" i="4"/>
  <c r="BF1571" i="4"/>
  <c r="BD1571" i="4"/>
  <c r="AP1571" i="4"/>
  <c r="AO1571" i="4"/>
  <c r="AW1571" i="4" s="1"/>
  <c r="AL1571" i="4"/>
  <c r="AK1571" i="4"/>
  <c r="AJ1571" i="4"/>
  <c r="AH1571" i="4"/>
  <c r="AG1571" i="4"/>
  <c r="AF1571" i="4"/>
  <c r="AE1571" i="4"/>
  <c r="AD1571" i="4"/>
  <c r="Z1571" i="4"/>
  <c r="I1571" i="4"/>
  <c r="I1570" i="4"/>
  <c r="BJ1569" i="4"/>
  <c r="BI1569" i="4"/>
  <c r="BH1569" i="4"/>
  <c r="BF1569" i="4"/>
  <c r="BD1569" i="4"/>
  <c r="AX1569" i="4"/>
  <c r="AW1569" i="4"/>
  <c r="AP1569" i="4"/>
  <c r="AO1569" i="4"/>
  <c r="AL1569" i="4"/>
  <c r="AK1569" i="4"/>
  <c r="AJ1569" i="4"/>
  <c r="AH1569" i="4"/>
  <c r="AG1569" i="4"/>
  <c r="AF1569" i="4"/>
  <c r="AE1569" i="4"/>
  <c r="AD1569" i="4"/>
  <c r="AC1569" i="4"/>
  <c r="AB1569" i="4"/>
  <c r="Z1569" i="4"/>
  <c r="I1569" i="4"/>
  <c r="BJ1567" i="4"/>
  <c r="BH1567" i="4"/>
  <c r="BF1567" i="4"/>
  <c r="BD1567" i="4"/>
  <c r="AW1567" i="4"/>
  <c r="AP1567" i="4"/>
  <c r="AO1567" i="4"/>
  <c r="AL1567" i="4"/>
  <c r="AK1567" i="4"/>
  <c r="AJ1567" i="4"/>
  <c r="AH1567" i="4"/>
  <c r="AG1567" i="4"/>
  <c r="AF1567" i="4"/>
  <c r="AD1567" i="4"/>
  <c r="AC1567" i="4"/>
  <c r="AB1567" i="4"/>
  <c r="Z1567" i="4"/>
  <c r="I1567" i="4"/>
  <c r="BJ1565" i="4"/>
  <c r="BI1565" i="4"/>
  <c r="AE1565" i="4" s="1"/>
  <c r="BF1565" i="4"/>
  <c r="BD1565" i="4"/>
  <c r="AW1565" i="4"/>
  <c r="AP1565" i="4"/>
  <c r="AX1565" i="4" s="1"/>
  <c r="AO1565" i="4"/>
  <c r="BH1565" i="4" s="1"/>
  <c r="AD1565" i="4" s="1"/>
  <c r="AK1565" i="4"/>
  <c r="AJ1565" i="4"/>
  <c r="AH1565" i="4"/>
  <c r="AG1565" i="4"/>
  <c r="AF1565" i="4"/>
  <c r="AC1565" i="4"/>
  <c r="AB1565" i="4"/>
  <c r="Z1565" i="4"/>
  <c r="I1565" i="4"/>
  <c r="AL1565" i="4" s="1"/>
  <c r="BJ1563" i="4"/>
  <c r="BF1563" i="4"/>
  <c r="BD1563" i="4"/>
  <c r="AP1563" i="4"/>
  <c r="AO1563" i="4"/>
  <c r="AW1563" i="4" s="1"/>
  <c r="AK1563" i="4"/>
  <c r="AJ1563" i="4"/>
  <c r="AH1563" i="4"/>
  <c r="AG1563" i="4"/>
  <c r="AF1563" i="4"/>
  <c r="AC1563" i="4"/>
  <c r="AB1563" i="4"/>
  <c r="Z1563" i="4"/>
  <c r="I1563" i="4"/>
  <c r="AL1563" i="4" s="1"/>
  <c r="BJ1561" i="4"/>
  <c r="BF1561" i="4"/>
  <c r="BD1561" i="4"/>
  <c r="AX1561" i="4"/>
  <c r="AP1561" i="4"/>
  <c r="BI1561" i="4" s="1"/>
  <c r="AO1561" i="4"/>
  <c r="AL1561" i="4"/>
  <c r="AK1561" i="4"/>
  <c r="AJ1561" i="4"/>
  <c r="AH1561" i="4"/>
  <c r="AG1561" i="4"/>
  <c r="AF1561" i="4"/>
  <c r="AE1561" i="4"/>
  <c r="AC1561" i="4"/>
  <c r="AB1561" i="4"/>
  <c r="Z1561" i="4"/>
  <c r="I1561" i="4"/>
  <c r="BJ1559" i="4"/>
  <c r="BI1559" i="4"/>
  <c r="AE1559" i="4" s="1"/>
  <c r="BF1559" i="4"/>
  <c r="BD1559" i="4"/>
  <c r="AX1559" i="4"/>
  <c r="AP1559" i="4"/>
  <c r="AO1559" i="4"/>
  <c r="BH1559" i="4" s="1"/>
  <c r="AD1559" i="4" s="1"/>
  <c r="AL1559" i="4"/>
  <c r="AK1559" i="4"/>
  <c r="AJ1559" i="4"/>
  <c r="AH1559" i="4"/>
  <c r="AG1559" i="4"/>
  <c r="AF1559" i="4"/>
  <c r="AC1559" i="4"/>
  <c r="AB1559" i="4"/>
  <c r="Z1559" i="4"/>
  <c r="I1559" i="4"/>
  <c r="BJ1557" i="4"/>
  <c r="BI1557" i="4"/>
  <c r="AE1557" i="4" s="1"/>
  <c r="BH1557" i="4"/>
  <c r="AD1557" i="4" s="1"/>
  <c r="BF1557" i="4"/>
  <c r="BD1557" i="4"/>
  <c r="BC1557" i="4"/>
  <c r="AW1557" i="4"/>
  <c r="AP1557" i="4"/>
  <c r="AX1557" i="4" s="1"/>
  <c r="AV1557" i="4" s="1"/>
  <c r="AO1557" i="4"/>
  <c r="AL1557" i="4"/>
  <c r="AK1557" i="4"/>
  <c r="AJ1557" i="4"/>
  <c r="AH1557" i="4"/>
  <c r="AG1557" i="4"/>
  <c r="AF1557" i="4"/>
  <c r="AC1557" i="4"/>
  <c r="AB1557" i="4"/>
  <c r="Z1557" i="4"/>
  <c r="I1557" i="4"/>
  <c r="BJ1555" i="4"/>
  <c r="BI1555" i="4"/>
  <c r="AE1555" i="4" s="1"/>
  <c r="BH1555" i="4"/>
  <c r="BF1555" i="4"/>
  <c r="BD1555" i="4"/>
  <c r="AX1555" i="4"/>
  <c r="AP1555" i="4"/>
  <c r="AO1555" i="4"/>
  <c r="AW1555" i="4" s="1"/>
  <c r="AK1555" i="4"/>
  <c r="AJ1555" i="4"/>
  <c r="AH1555" i="4"/>
  <c r="AG1555" i="4"/>
  <c r="AF1555" i="4"/>
  <c r="AD1555" i="4"/>
  <c r="AC1555" i="4"/>
  <c r="AB1555" i="4"/>
  <c r="Z1555" i="4"/>
  <c r="I1555" i="4"/>
  <c r="AL1555" i="4" s="1"/>
  <c r="BJ1553" i="4"/>
  <c r="BI1553" i="4"/>
  <c r="AE1553" i="4" s="1"/>
  <c r="BF1553" i="4"/>
  <c r="BD1553" i="4"/>
  <c r="AW1553" i="4"/>
  <c r="AP1553" i="4"/>
  <c r="AX1553" i="4" s="1"/>
  <c r="AO1553" i="4"/>
  <c r="BH1553" i="4" s="1"/>
  <c r="AD1553" i="4" s="1"/>
  <c r="AK1553" i="4"/>
  <c r="AJ1553" i="4"/>
  <c r="AH1553" i="4"/>
  <c r="AG1553" i="4"/>
  <c r="AF1553" i="4"/>
  <c r="AC1553" i="4"/>
  <c r="AB1553" i="4"/>
  <c r="Z1553" i="4"/>
  <c r="I1553" i="4"/>
  <c r="AL1553" i="4" s="1"/>
  <c r="BJ1551" i="4"/>
  <c r="BI1551" i="4"/>
  <c r="BH1551" i="4"/>
  <c r="AD1551" i="4" s="1"/>
  <c r="BF1551" i="4"/>
  <c r="BD1551" i="4"/>
  <c r="BC1551" i="4"/>
  <c r="AX1551" i="4"/>
  <c r="AP1551" i="4"/>
  <c r="AO1551" i="4"/>
  <c r="AW1551" i="4" s="1"/>
  <c r="AV1551" i="4" s="1"/>
  <c r="AK1551" i="4"/>
  <c r="AJ1551" i="4"/>
  <c r="AH1551" i="4"/>
  <c r="AG1551" i="4"/>
  <c r="AF1551" i="4"/>
  <c r="AE1551" i="4"/>
  <c r="AC1551" i="4"/>
  <c r="AB1551" i="4"/>
  <c r="Z1551" i="4"/>
  <c r="I1551" i="4"/>
  <c r="AL1551" i="4" s="1"/>
  <c r="BJ1548" i="4"/>
  <c r="BH1548" i="4"/>
  <c r="BF1548" i="4"/>
  <c r="BD1548" i="4"/>
  <c r="AW1548" i="4"/>
  <c r="AP1548" i="4"/>
  <c r="BI1548" i="4" s="1"/>
  <c r="AO1548" i="4"/>
  <c r="AL1548" i="4"/>
  <c r="AK1548" i="4"/>
  <c r="AJ1548" i="4"/>
  <c r="AH1548" i="4"/>
  <c r="AG1548" i="4"/>
  <c r="AF1548" i="4"/>
  <c r="AE1548" i="4"/>
  <c r="AD1548" i="4"/>
  <c r="AC1548" i="4"/>
  <c r="AB1548" i="4"/>
  <c r="Z1548" i="4"/>
  <c r="I1548" i="4"/>
  <c r="BJ1543" i="4"/>
  <c r="BI1543" i="4"/>
  <c r="BF1543" i="4"/>
  <c r="BD1543" i="4"/>
  <c r="AX1543" i="4"/>
  <c r="AW1543" i="4"/>
  <c r="AP1543" i="4"/>
  <c r="AO1543" i="4"/>
  <c r="BH1543" i="4" s="1"/>
  <c r="AD1543" i="4" s="1"/>
  <c r="AK1543" i="4"/>
  <c r="AJ1543" i="4"/>
  <c r="AH1543" i="4"/>
  <c r="AG1543" i="4"/>
  <c r="AF1543" i="4"/>
  <c r="AE1543" i="4"/>
  <c r="AC1543" i="4"/>
  <c r="AB1543" i="4"/>
  <c r="Z1543" i="4"/>
  <c r="I1543" i="4"/>
  <c r="AL1543" i="4" s="1"/>
  <c r="BJ1541" i="4"/>
  <c r="BI1541" i="4"/>
  <c r="AE1541" i="4" s="1"/>
  <c r="BH1541" i="4"/>
  <c r="AD1541" i="4" s="1"/>
  <c r="BF1541" i="4"/>
  <c r="BD1541" i="4"/>
  <c r="AX1541" i="4"/>
  <c r="AW1541" i="4"/>
  <c r="BC1541" i="4" s="1"/>
  <c r="AP1541" i="4"/>
  <c r="AO1541" i="4"/>
  <c r="AL1541" i="4"/>
  <c r="AK1541" i="4"/>
  <c r="AJ1541" i="4"/>
  <c r="AH1541" i="4"/>
  <c r="AG1541" i="4"/>
  <c r="AF1541" i="4"/>
  <c r="AC1541" i="4"/>
  <c r="AB1541" i="4"/>
  <c r="Z1541" i="4"/>
  <c r="I1541" i="4"/>
  <c r="BJ1539" i="4"/>
  <c r="BH1539" i="4"/>
  <c r="BF1539" i="4"/>
  <c r="BD1539" i="4"/>
  <c r="AX1539" i="4"/>
  <c r="AV1539" i="4" s="1"/>
  <c r="AW1539" i="4"/>
  <c r="AP1539" i="4"/>
  <c r="BI1539" i="4" s="1"/>
  <c r="AE1539" i="4" s="1"/>
  <c r="AO1539" i="4"/>
  <c r="AL1539" i="4"/>
  <c r="AK1539" i="4"/>
  <c r="AJ1539" i="4"/>
  <c r="AH1539" i="4"/>
  <c r="AG1539" i="4"/>
  <c r="AF1539" i="4"/>
  <c r="AD1539" i="4"/>
  <c r="AC1539" i="4"/>
  <c r="AB1539" i="4"/>
  <c r="Z1539" i="4"/>
  <c r="I1539" i="4"/>
  <c r="BJ1536" i="4"/>
  <c r="BF1536" i="4"/>
  <c r="BD1536" i="4"/>
  <c r="AP1536" i="4"/>
  <c r="AX1536" i="4" s="1"/>
  <c r="AO1536" i="4"/>
  <c r="BH1536" i="4" s="1"/>
  <c r="AD1536" i="4" s="1"/>
  <c r="AK1536" i="4"/>
  <c r="AJ1536" i="4"/>
  <c r="AH1536" i="4"/>
  <c r="AG1536" i="4"/>
  <c r="AF1536" i="4"/>
  <c r="AC1536" i="4"/>
  <c r="AB1536" i="4"/>
  <c r="Z1536" i="4"/>
  <c r="I1536" i="4"/>
  <c r="AL1536" i="4" s="1"/>
  <c r="BJ1533" i="4"/>
  <c r="BH1533" i="4"/>
  <c r="AD1533" i="4" s="1"/>
  <c r="BF1533" i="4"/>
  <c r="BD1533" i="4"/>
  <c r="AP1533" i="4"/>
  <c r="AO1533" i="4"/>
  <c r="AW1533" i="4" s="1"/>
  <c r="AK1533" i="4"/>
  <c r="AJ1533" i="4"/>
  <c r="AH1533" i="4"/>
  <c r="AG1533" i="4"/>
  <c r="AF1533" i="4"/>
  <c r="AC1533" i="4"/>
  <c r="AB1533" i="4"/>
  <c r="Z1533" i="4"/>
  <c r="I1533" i="4"/>
  <c r="AL1533" i="4" s="1"/>
  <c r="BJ1531" i="4"/>
  <c r="BF1531" i="4"/>
  <c r="BD1531" i="4"/>
  <c r="AP1531" i="4"/>
  <c r="BI1531" i="4" s="1"/>
  <c r="AE1531" i="4" s="1"/>
  <c r="AO1531" i="4"/>
  <c r="AK1531" i="4"/>
  <c r="AJ1531" i="4"/>
  <c r="AH1531" i="4"/>
  <c r="AG1531" i="4"/>
  <c r="AF1531" i="4"/>
  <c r="AC1531" i="4"/>
  <c r="AB1531" i="4"/>
  <c r="Z1531" i="4"/>
  <c r="I1531" i="4"/>
  <c r="AL1531" i="4" s="1"/>
  <c r="BJ1529" i="4"/>
  <c r="BI1529" i="4"/>
  <c r="AE1529" i="4" s="1"/>
  <c r="BF1529" i="4"/>
  <c r="BD1529" i="4"/>
  <c r="AX1529" i="4"/>
  <c r="AP1529" i="4"/>
  <c r="AO1529" i="4"/>
  <c r="BH1529" i="4" s="1"/>
  <c r="AD1529" i="4" s="1"/>
  <c r="AL1529" i="4"/>
  <c r="AK1529" i="4"/>
  <c r="AJ1529" i="4"/>
  <c r="AH1529" i="4"/>
  <c r="AG1529" i="4"/>
  <c r="AF1529" i="4"/>
  <c r="AC1529" i="4"/>
  <c r="AB1529" i="4"/>
  <c r="Z1529" i="4"/>
  <c r="I1529" i="4"/>
  <c r="BJ1527" i="4"/>
  <c r="BI1527" i="4"/>
  <c r="AE1527" i="4" s="1"/>
  <c r="BH1527" i="4"/>
  <c r="AD1527" i="4" s="1"/>
  <c r="BF1527" i="4"/>
  <c r="BD1527" i="4"/>
  <c r="AW1527" i="4"/>
  <c r="AP1527" i="4"/>
  <c r="AX1527" i="4" s="1"/>
  <c r="AO1527" i="4"/>
  <c r="AL1527" i="4"/>
  <c r="AK1527" i="4"/>
  <c r="AJ1527" i="4"/>
  <c r="AH1527" i="4"/>
  <c r="AG1527" i="4"/>
  <c r="AF1527" i="4"/>
  <c r="AC1527" i="4"/>
  <c r="AB1527" i="4"/>
  <c r="Z1527" i="4"/>
  <c r="I1527" i="4"/>
  <c r="BJ1524" i="4"/>
  <c r="BH1524" i="4"/>
  <c r="BF1524" i="4"/>
  <c r="BD1524" i="4"/>
  <c r="AP1524" i="4"/>
  <c r="BI1524" i="4" s="1"/>
  <c r="AE1524" i="4" s="1"/>
  <c r="AO1524" i="4"/>
  <c r="AW1524" i="4" s="1"/>
  <c r="AK1524" i="4"/>
  <c r="AT1515" i="4" s="1"/>
  <c r="AJ1524" i="4"/>
  <c r="AH1524" i="4"/>
  <c r="AG1524" i="4"/>
  <c r="AF1524" i="4"/>
  <c r="AD1524" i="4"/>
  <c r="AC1524" i="4"/>
  <c r="AB1524" i="4"/>
  <c r="Z1524" i="4"/>
  <c r="I1524" i="4"/>
  <c r="AL1524" i="4" s="1"/>
  <c r="BJ1521" i="4"/>
  <c r="BI1521" i="4"/>
  <c r="AE1521" i="4" s="1"/>
  <c r="BH1521" i="4"/>
  <c r="AD1521" i="4" s="1"/>
  <c r="BF1521" i="4"/>
  <c r="BD1521" i="4"/>
  <c r="AW1521" i="4"/>
  <c r="AP1521" i="4"/>
  <c r="AX1521" i="4" s="1"/>
  <c r="AO1521" i="4"/>
  <c r="AK1521" i="4"/>
  <c r="AJ1521" i="4"/>
  <c r="AS1515" i="4" s="1"/>
  <c r="AH1521" i="4"/>
  <c r="AG1521" i="4"/>
  <c r="AF1521" i="4"/>
  <c r="AC1521" i="4"/>
  <c r="AB1521" i="4"/>
  <c r="Z1521" i="4"/>
  <c r="I1521" i="4"/>
  <c r="AL1521" i="4" s="1"/>
  <c r="BJ1518" i="4"/>
  <c r="BI1518" i="4"/>
  <c r="BF1518" i="4"/>
  <c r="BD1518" i="4"/>
  <c r="AX1518" i="4"/>
  <c r="AP1518" i="4"/>
  <c r="AO1518" i="4"/>
  <c r="AK1518" i="4"/>
  <c r="AJ1518" i="4"/>
  <c r="AH1518" i="4"/>
  <c r="AG1518" i="4"/>
  <c r="AF1518" i="4"/>
  <c r="AE1518" i="4"/>
  <c r="AC1518" i="4"/>
  <c r="AB1518" i="4"/>
  <c r="Z1518" i="4"/>
  <c r="I1518" i="4"/>
  <c r="BJ1516" i="4"/>
  <c r="BH1516" i="4"/>
  <c r="BF1516" i="4"/>
  <c r="BD1516" i="4"/>
  <c r="AW1516" i="4"/>
  <c r="AP1516" i="4"/>
  <c r="AO1516" i="4"/>
  <c r="AL1516" i="4"/>
  <c r="AK1516" i="4"/>
  <c r="AJ1516" i="4"/>
  <c r="AH1516" i="4"/>
  <c r="AG1516" i="4"/>
  <c r="AF1516" i="4"/>
  <c r="AD1516" i="4"/>
  <c r="AC1516" i="4"/>
  <c r="AB1516" i="4"/>
  <c r="Z1516" i="4"/>
  <c r="I1516" i="4"/>
  <c r="BJ1513" i="4"/>
  <c r="BI1513" i="4"/>
  <c r="AE1513" i="4" s="1"/>
  <c r="BH1513" i="4"/>
  <c r="BF1513" i="4"/>
  <c r="BD1513" i="4"/>
  <c r="AP1513" i="4"/>
  <c r="AX1513" i="4" s="1"/>
  <c r="AO1513" i="4"/>
  <c r="AW1513" i="4" s="1"/>
  <c r="AK1513" i="4"/>
  <c r="AJ1513" i="4"/>
  <c r="AH1513" i="4"/>
  <c r="AG1513" i="4"/>
  <c r="AF1513" i="4"/>
  <c r="AD1513" i="4"/>
  <c r="AC1513" i="4"/>
  <c r="AB1513" i="4"/>
  <c r="Z1513" i="4"/>
  <c r="I1513" i="4"/>
  <c r="AL1513" i="4" s="1"/>
  <c r="BJ1511" i="4"/>
  <c r="BI1511" i="4"/>
  <c r="AE1511" i="4" s="1"/>
  <c r="BH1511" i="4"/>
  <c r="BF1511" i="4"/>
  <c r="BD1511" i="4"/>
  <c r="AW1511" i="4"/>
  <c r="AP1511" i="4"/>
  <c r="AX1511" i="4" s="1"/>
  <c r="AO1511" i="4"/>
  <c r="AK1511" i="4"/>
  <c r="AJ1511" i="4"/>
  <c r="AH1511" i="4"/>
  <c r="AG1511" i="4"/>
  <c r="AF1511" i="4"/>
  <c r="AD1511" i="4"/>
  <c r="AC1511" i="4"/>
  <c r="AB1511" i="4"/>
  <c r="Z1511" i="4"/>
  <c r="I1511" i="4"/>
  <c r="AL1511" i="4" s="1"/>
  <c r="BJ1509" i="4"/>
  <c r="BI1509" i="4"/>
  <c r="BF1509" i="4"/>
  <c r="BD1509" i="4"/>
  <c r="AX1509" i="4"/>
  <c r="AW1509" i="4"/>
  <c r="AP1509" i="4"/>
  <c r="AO1509" i="4"/>
  <c r="BH1509" i="4" s="1"/>
  <c r="AD1509" i="4" s="1"/>
  <c r="AL1509" i="4"/>
  <c r="AK1509" i="4"/>
  <c r="AJ1509" i="4"/>
  <c r="AH1509" i="4"/>
  <c r="AG1509" i="4"/>
  <c r="AF1509" i="4"/>
  <c r="AE1509" i="4"/>
  <c r="AC1509" i="4"/>
  <c r="AB1509" i="4"/>
  <c r="Z1509" i="4"/>
  <c r="I1509" i="4"/>
  <c r="BJ1506" i="4"/>
  <c r="BH1506" i="4"/>
  <c r="BF1506" i="4"/>
  <c r="BD1506" i="4"/>
  <c r="AX1506" i="4"/>
  <c r="BC1506" i="4" s="1"/>
  <c r="AW1506" i="4"/>
  <c r="AP1506" i="4"/>
  <c r="BI1506" i="4" s="1"/>
  <c r="AE1506" i="4" s="1"/>
  <c r="AO1506" i="4"/>
  <c r="AL1506" i="4"/>
  <c r="AK1506" i="4"/>
  <c r="AJ1506" i="4"/>
  <c r="AH1506" i="4"/>
  <c r="AG1506" i="4"/>
  <c r="AF1506" i="4"/>
  <c r="AD1506" i="4"/>
  <c r="AC1506" i="4"/>
  <c r="AB1506" i="4"/>
  <c r="Z1506" i="4"/>
  <c r="I1506" i="4"/>
  <c r="BJ1503" i="4"/>
  <c r="BF1503" i="4"/>
  <c r="BD1503" i="4"/>
  <c r="AP1503" i="4"/>
  <c r="AX1503" i="4" s="1"/>
  <c r="AO1503" i="4"/>
  <c r="BH1503" i="4" s="1"/>
  <c r="AK1503" i="4"/>
  <c r="AJ1503" i="4"/>
  <c r="AH1503" i="4"/>
  <c r="AG1503" i="4"/>
  <c r="AF1503" i="4"/>
  <c r="AD1503" i="4"/>
  <c r="AC1503" i="4"/>
  <c r="AB1503" i="4"/>
  <c r="Z1503" i="4"/>
  <c r="I1503" i="4"/>
  <c r="AL1503" i="4" s="1"/>
  <c r="BJ1500" i="4"/>
  <c r="BI1500" i="4"/>
  <c r="BH1500" i="4"/>
  <c r="BF1500" i="4"/>
  <c r="BD1500" i="4"/>
  <c r="AX1500" i="4"/>
  <c r="AW1500" i="4"/>
  <c r="BC1500" i="4" s="1"/>
  <c r="AV1500" i="4"/>
  <c r="AP1500" i="4"/>
  <c r="AO1500" i="4"/>
  <c r="AL1500" i="4"/>
  <c r="AK1500" i="4"/>
  <c r="AJ1500" i="4"/>
  <c r="AH1500" i="4"/>
  <c r="AG1500" i="4"/>
  <c r="AF1500" i="4"/>
  <c r="AE1500" i="4"/>
  <c r="AD1500" i="4"/>
  <c r="AC1500" i="4"/>
  <c r="AB1500" i="4"/>
  <c r="Z1500" i="4"/>
  <c r="I1500" i="4"/>
  <c r="BJ1497" i="4"/>
  <c r="BH1497" i="4"/>
  <c r="BF1497" i="4"/>
  <c r="BD1497" i="4"/>
  <c r="AX1497" i="4"/>
  <c r="AV1497" i="4" s="1"/>
  <c r="AW1497" i="4"/>
  <c r="AP1497" i="4"/>
  <c r="BI1497" i="4" s="1"/>
  <c r="AE1497" i="4" s="1"/>
  <c r="AO1497" i="4"/>
  <c r="AL1497" i="4"/>
  <c r="AK1497" i="4"/>
  <c r="AJ1497" i="4"/>
  <c r="AH1497" i="4"/>
  <c r="AG1497" i="4"/>
  <c r="AF1497" i="4"/>
  <c r="AD1497" i="4"/>
  <c r="AC1497" i="4"/>
  <c r="AB1497" i="4"/>
  <c r="Z1497" i="4"/>
  <c r="I1497" i="4"/>
  <c r="BJ1494" i="4"/>
  <c r="BI1494" i="4"/>
  <c r="AE1494" i="4" s="1"/>
  <c r="BF1494" i="4"/>
  <c r="BD1494" i="4"/>
  <c r="AW1494" i="4"/>
  <c r="BC1494" i="4" s="1"/>
  <c r="AP1494" i="4"/>
  <c r="AX1494" i="4" s="1"/>
  <c r="AO1494" i="4"/>
  <c r="BH1494" i="4" s="1"/>
  <c r="AD1494" i="4" s="1"/>
  <c r="AK1494" i="4"/>
  <c r="AJ1494" i="4"/>
  <c r="AH1494" i="4"/>
  <c r="AG1494" i="4"/>
  <c r="AF1494" i="4"/>
  <c r="AC1494" i="4"/>
  <c r="AB1494" i="4"/>
  <c r="Z1494" i="4"/>
  <c r="I1494" i="4"/>
  <c r="AL1494" i="4" s="1"/>
  <c r="BJ1491" i="4"/>
  <c r="BF1491" i="4"/>
  <c r="BD1491" i="4"/>
  <c r="AP1491" i="4"/>
  <c r="AX1491" i="4" s="1"/>
  <c r="AO1491" i="4"/>
  <c r="AK1491" i="4"/>
  <c r="AJ1491" i="4"/>
  <c r="AH1491" i="4"/>
  <c r="AG1491" i="4"/>
  <c r="AF1491" i="4"/>
  <c r="AC1491" i="4"/>
  <c r="AB1491" i="4"/>
  <c r="Z1491" i="4"/>
  <c r="I1491" i="4"/>
  <c r="AL1491" i="4" s="1"/>
  <c r="BJ1488" i="4"/>
  <c r="BF1488" i="4"/>
  <c r="BD1488" i="4"/>
  <c r="AP1488" i="4"/>
  <c r="BI1488" i="4" s="1"/>
  <c r="AE1488" i="4" s="1"/>
  <c r="AO1488" i="4"/>
  <c r="AK1488" i="4"/>
  <c r="AJ1488" i="4"/>
  <c r="AH1488" i="4"/>
  <c r="AG1488" i="4"/>
  <c r="AF1488" i="4"/>
  <c r="AC1488" i="4"/>
  <c r="AB1488" i="4"/>
  <c r="Z1488" i="4"/>
  <c r="I1488" i="4"/>
  <c r="AL1488" i="4" s="1"/>
  <c r="BJ1485" i="4"/>
  <c r="BI1485" i="4"/>
  <c r="AE1485" i="4" s="1"/>
  <c r="BF1485" i="4"/>
  <c r="BD1485" i="4"/>
  <c r="AX1485" i="4"/>
  <c r="AP1485" i="4"/>
  <c r="AO1485" i="4"/>
  <c r="BH1485" i="4" s="1"/>
  <c r="AK1485" i="4"/>
  <c r="AJ1485" i="4"/>
  <c r="AH1485" i="4"/>
  <c r="AG1485" i="4"/>
  <c r="AF1485" i="4"/>
  <c r="AD1485" i="4"/>
  <c r="AC1485" i="4"/>
  <c r="AB1485" i="4"/>
  <c r="Z1485" i="4"/>
  <c r="I1485" i="4"/>
  <c r="AL1485" i="4" s="1"/>
  <c r="BJ1482" i="4"/>
  <c r="BI1482" i="4"/>
  <c r="BH1482" i="4"/>
  <c r="AD1482" i="4" s="1"/>
  <c r="BF1482" i="4"/>
  <c r="BD1482" i="4"/>
  <c r="AW1482" i="4"/>
  <c r="BC1482" i="4" s="1"/>
  <c r="AV1482" i="4"/>
  <c r="AP1482" i="4"/>
  <c r="AX1482" i="4" s="1"/>
  <c r="AO1482" i="4"/>
  <c r="AL1482" i="4"/>
  <c r="AK1482" i="4"/>
  <c r="AJ1482" i="4"/>
  <c r="AH1482" i="4"/>
  <c r="AG1482" i="4"/>
  <c r="AF1482" i="4"/>
  <c r="AE1482" i="4"/>
  <c r="AC1482" i="4"/>
  <c r="AB1482" i="4"/>
  <c r="Z1482" i="4"/>
  <c r="I1482" i="4"/>
  <c r="BJ1480" i="4"/>
  <c r="BH1480" i="4"/>
  <c r="BF1480" i="4"/>
  <c r="BD1480" i="4"/>
  <c r="AX1480" i="4"/>
  <c r="AV1480" i="4"/>
  <c r="AP1480" i="4"/>
  <c r="BI1480" i="4" s="1"/>
  <c r="AE1480" i="4" s="1"/>
  <c r="AO1480" i="4"/>
  <c r="AW1480" i="4" s="1"/>
  <c r="BC1480" i="4" s="1"/>
  <c r="AK1480" i="4"/>
  <c r="AJ1480" i="4"/>
  <c r="AH1480" i="4"/>
  <c r="AG1480" i="4"/>
  <c r="AF1480" i="4"/>
  <c r="AD1480" i="4"/>
  <c r="AC1480" i="4"/>
  <c r="AB1480" i="4"/>
  <c r="Z1480" i="4"/>
  <c r="I1480" i="4"/>
  <c r="AL1480" i="4" s="1"/>
  <c r="BJ1478" i="4"/>
  <c r="BI1478" i="4"/>
  <c r="AE1478" i="4" s="1"/>
  <c r="BH1478" i="4"/>
  <c r="BF1478" i="4"/>
  <c r="BD1478" i="4"/>
  <c r="AW1478" i="4"/>
  <c r="AP1478" i="4"/>
  <c r="AX1478" i="4" s="1"/>
  <c r="AO1478" i="4"/>
  <c r="AK1478" i="4"/>
  <c r="AJ1478" i="4"/>
  <c r="AH1478" i="4"/>
  <c r="AG1478" i="4"/>
  <c r="AF1478" i="4"/>
  <c r="AD1478" i="4"/>
  <c r="AC1478" i="4"/>
  <c r="AB1478" i="4"/>
  <c r="Z1478" i="4"/>
  <c r="I1478" i="4"/>
  <c r="AL1478" i="4" s="1"/>
  <c r="BJ1476" i="4"/>
  <c r="BI1476" i="4"/>
  <c r="BH1476" i="4"/>
  <c r="AD1476" i="4" s="1"/>
  <c r="BF1476" i="4"/>
  <c r="BD1476" i="4"/>
  <c r="AW1476" i="4"/>
  <c r="BC1476" i="4" s="1"/>
  <c r="AP1476" i="4"/>
  <c r="AX1476" i="4" s="1"/>
  <c r="AO1476" i="4"/>
  <c r="AK1476" i="4"/>
  <c r="AJ1476" i="4"/>
  <c r="AH1476" i="4"/>
  <c r="AG1476" i="4"/>
  <c r="AF1476" i="4"/>
  <c r="AE1476" i="4"/>
  <c r="AC1476" i="4"/>
  <c r="AB1476" i="4"/>
  <c r="Z1476" i="4"/>
  <c r="I1476" i="4"/>
  <c r="AL1476" i="4" s="1"/>
  <c r="BJ1474" i="4"/>
  <c r="BH1474" i="4"/>
  <c r="BF1474" i="4"/>
  <c r="BD1474" i="4"/>
  <c r="AX1474" i="4"/>
  <c r="AV1474" i="4"/>
  <c r="AP1474" i="4"/>
  <c r="BI1474" i="4" s="1"/>
  <c r="AE1474" i="4" s="1"/>
  <c r="AO1474" i="4"/>
  <c r="AW1474" i="4" s="1"/>
  <c r="BC1474" i="4" s="1"/>
  <c r="AL1474" i="4"/>
  <c r="AK1474" i="4"/>
  <c r="AJ1474" i="4"/>
  <c r="AH1474" i="4"/>
  <c r="AG1474" i="4"/>
  <c r="AF1474" i="4"/>
  <c r="AD1474" i="4"/>
  <c r="AC1474" i="4"/>
  <c r="AB1474" i="4"/>
  <c r="Z1474" i="4"/>
  <c r="I1474" i="4"/>
  <c r="BJ1472" i="4"/>
  <c r="BI1472" i="4"/>
  <c r="BF1472" i="4"/>
  <c r="BD1472" i="4"/>
  <c r="AX1472" i="4"/>
  <c r="AP1472" i="4"/>
  <c r="AO1472" i="4"/>
  <c r="BH1472" i="4" s="1"/>
  <c r="AD1472" i="4" s="1"/>
  <c r="AK1472" i="4"/>
  <c r="AJ1472" i="4"/>
  <c r="AH1472" i="4"/>
  <c r="AG1472" i="4"/>
  <c r="AF1472" i="4"/>
  <c r="AE1472" i="4"/>
  <c r="AC1472" i="4"/>
  <c r="AB1472" i="4"/>
  <c r="Z1472" i="4"/>
  <c r="I1472" i="4"/>
  <c r="AL1472" i="4" s="1"/>
  <c r="BJ1470" i="4"/>
  <c r="BI1470" i="4"/>
  <c r="AE1470" i="4" s="1"/>
  <c r="BH1470" i="4"/>
  <c r="BF1470" i="4"/>
  <c r="BD1470" i="4"/>
  <c r="AX1470" i="4"/>
  <c r="AP1470" i="4"/>
  <c r="AO1470" i="4"/>
  <c r="AW1470" i="4" s="1"/>
  <c r="AL1470" i="4"/>
  <c r="AK1470" i="4"/>
  <c r="AJ1470" i="4"/>
  <c r="AH1470" i="4"/>
  <c r="AG1470" i="4"/>
  <c r="AF1470" i="4"/>
  <c r="AD1470" i="4"/>
  <c r="AC1470" i="4"/>
  <c r="AB1470" i="4"/>
  <c r="Z1470" i="4"/>
  <c r="I1470" i="4"/>
  <c r="BJ1468" i="4"/>
  <c r="BH1468" i="4"/>
  <c r="BF1468" i="4"/>
  <c r="BD1468" i="4"/>
  <c r="AW1468" i="4"/>
  <c r="AP1468" i="4"/>
  <c r="AO1468" i="4"/>
  <c r="AL1468" i="4"/>
  <c r="AK1468" i="4"/>
  <c r="AJ1468" i="4"/>
  <c r="AH1468" i="4"/>
  <c r="AG1468" i="4"/>
  <c r="AF1468" i="4"/>
  <c r="AD1468" i="4"/>
  <c r="AC1468" i="4"/>
  <c r="AB1468" i="4"/>
  <c r="Z1468" i="4"/>
  <c r="I1468" i="4"/>
  <c r="BJ1466" i="4"/>
  <c r="BF1466" i="4"/>
  <c r="BD1466" i="4"/>
  <c r="AP1466" i="4"/>
  <c r="AO1466" i="4"/>
  <c r="BH1466" i="4" s="1"/>
  <c r="AD1466" i="4" s="1"/>
  <c r="AK1466" i="4"/>
  <c r="AJ1466" i="4"/>
  <c r="AH1466" i="4"/>
  <c r="AG1466" i="4"/>
  <c r="AF1466" i="4"/>
  <c r="AC1466" i="4"/>
  <c r="AB1466" i="4"/>
  <c r="Z1466" i="4"/>
  <c r="I1466" i="4"/>
  <c r="AL1466" i="4" s="1"/>
  <c r="BJ1464" i="4"/>
  <c r="BI1464" i="4"/>
  <c r="AE1464" i="4" s="1"/>
  <c r="BH1464" i="4"/>
  <c r="AD1464" i="4" s="1"/>
  <c r="BF1464" i="4"/>
  <c r="BD1464" i="4"/>
  <c r="BC1464" i="4"/>
  <c r="AV1464" i="4"/>
  <c r="AP1464" i="4"/>
  <c r="AX1464" i="4" s="1"/>
  <c r="AO1464" i="4"/>
  <c r="AW1464" i="4" s="1"/>
  <c r="AL1464" i="4"/>
  <c r="AK1464" i="4"/>
  <c r="AJ1464" i="4"/>
  <c r="AH1464" i="4"/>
  <c r="AG1464" i="4"/>
  <c r="AF1464" i="4"/>
  <c r="AC1464" i="4"/>
  <c r="AB1464" i="4"/>
  <c r="Z1464" i="4"/>
  <c r="I1464" i="4"/>
  <c r="BJ1462" i="4"/>
  <c r="BH1462" i="4"/>
  <c r="AD1462" i="4" s="1"/>
  <c r="BF1462" i="4"/>
  <c r="BD1462" i="4"/>
  <c r="AX1462" i="4"/>
  <c r="AP1462" i="4"/>
  <c r="BI1462" i="4" s="1"/>
  <c r="AE1462" i="4" s="1"/>
  <c r="AO1462" i="4"/>
  <c r="AW1462" i="4" s="1"/>
  <c r="AL1462" i="4"/>
  <c r="AK1462" i="4"/>
  <c r="AJ1462" i="4"/>
  <c r="AH1462" i="4"/>
  <c r="AG1462" i="4"/>
  <c r="AF1462" i="4"/>
  <c r="AC1462" i="4"/>
  <c r="AB1462" i="4"/>
  <c r="Z1462" i="4"/>
  <c r="I1462" i="4"/>
  <c r="BJ1460" i="4"/>
  <c r="BI1460" i="4"/>
  <c r="AE1460" i="4" s="1"/>
  <c r="BF1460" i="4"/>
  <c r="BD1460" i="4"/>
  <c r="AX1460" i="4"/>
  <c r="AW1460" i="4"/>
  <c r="AP1460" i="4"/>
  <c r="AO1460" i="4"/>
  <c r="BH1460" i="4" s="1"/>
  <c r="AL1460" i="4"/>
  <c r="AK1460" i="4"/>
  <c r="AJ1460" i="4"/>
  <c r="AH1460" i="4"/>
  <c r="AG1460" i="4"/>
  <c r="AF1460" i="4"/>
  <c r="AD1460" i="4"/>
  <c r="AC1460" i="4"/>
  <c r="AB1460" i="4"/>
  <c r="Z1460" i="4"/>
  <c r="I1460" i="4"/>
  <c r="BJ1458" i="4"/>
  <c r="BI1458" i="4"/>
  <c r="BH1458" i="4"/>
  <c r="AD1458" i="4" s="1"/>
  <c r="BF1458" i="4"/>
  <c r="BD1458" i="4"/>
  <c r="BC1458" i="4"/>
  <c r="AW1458" i="4"/>
  <c r="AV1458" i="4"/>
  <c r="AP1458" i="4"/>
  <c r="AX1458" i="4" s="1"/>
  <c r="AO1458" i="4"/>
  <c r="AL1458" i="4"/>
  <c r="AK1458" i="4"/>
  <c r="AJ1458" i="4"/>
  <c r="AH1458" i="4"/>
  <c r="AG1458" i="4"/>
  <c r="AF1458" i="4"/>
  <c r="AE1458" i="4"/>
  <c r="AC1458" i="4"/>
  <c r="AB1458" i="4"/>
  <c r="Z1458" i="4"/>
  <c r="I1458" i="4"/>
  <c r="BJ1456" i="4"/>
  <c r="BH1456" i="4"/>
  <c r="BF1456" i="4"/>
  <c r="BD1456" i="4"/>
  <c r="AP1456" i="4"/>
  <c r="BI1456" i="4" s="1"/>
  <c r="AE1456" i="4" s="1"/>
  <c r="AO1456" i="4"/>
  <c r="AW1456" i="4" s="1"/>
  <c r="AK1456" i="4"/>
  <c r="AT1447" i="4" s="1"/>
  <c r="AJ1456" i="4"/>
  <c r="AH1456" i="4"/>
  <c r="AG1456" i="4"/>
  <c r="AF1456" i="4"/>
  <c r="AD1456" i="4"/>
  <c r="AC1456" i="4"/>
  <c r="AB1456" i="4"/>
  <c r="Z1456" i="4"/>
  <c r="I1456" i="4"/>
  <c r="AL1456" i="4" s="1"/>
  <c r="BJ1454" i="4"/>
  <c r="BI1454" i="4"/>
  <c r="AE1454" i="4" s="1"/>
  <c r="BF1454" i="4"/>
  <c r="BD1454" i="4"/>
  <c r="AP1454" i="4"/>
  <c r="AX1454" i="4" s="1"/>
  <c r="AO1454" i="4"/>
  <c r="AK1454" i="4"/>
  <c r="AJ1454" i="4"/>
  <c r="AH1454" i="4"/>
  <c r="AG1454" i="4"/>
  <c r="AF1454" i="4"/>
  <c r="AC1454" i="4"/>
  <c r="AB1454" i="4"/>
  <c r="Z1454" i="4"/>
  <c r="I1454" i="4"/>
  <c r="AL1454" i="4" s="1"/>
  <c r="BJ1452" i="4"/>
  <c r="BI1452" i="4"/>
  <c r="BH1452" i="4"/>
  <c r="AD1452" i="4" s="1"/>
  <c r="BF1452" i="4"/>
  <c r="BD1452" i="4"/>
  <c r="AX1452" i="4"/>
  <c r="AP1452" i="4"/>
  <c r="AO1452" i="4"/>
  <c r="AW1452" i="4" s="1"/>
  <c r="AK1452" i="4"/>
  <c r="AJ1452" i="4"/>
  <c r="AH1452" i="4"/>
  <c r="AG1452" i="4"/>
  <c r="AF1452" i="4"/>
  <c r="AE1452" i="4"/>
  <c r="AC1452" i="4"/>
  <c r="AB1452" i="4"/>
  <c r="Z1452" i="4"/>
  <c r="I1452" i="4"/>
  <c r="AL1452" i="4" s="1"/>
  <c r="BJ1450" i="4"/>
  <c r="BH1450" i="4"/>
  <c r="BF1450" i="4"/>
  <c r="BD1450" i="4"/>
  <c r="AW1450" i="4"/>
  <c r="AP1450" i="4"/>
  <c r="AO1450" i="4"/>
  <c r="AL1450" i="4"/>
  <c r="AK1450" i="4"/>
  <c r="AJ1450" i="4"/>
  <c r="AH1450" i="4"/>
  <c r="AG1450" i="4"/>
  <c r="AF1450" i="4"/>
  <c r="AD1450" i="4"/>
  <c r="AC1450" i="4"/>
  <c r="AB1450" i="4"/>
  <c r="Z1450" i="4"/>
  <c r="I1450" i="4"/>
  <c r="BJ1448" i="4"/>
  <c r="BI1448" i="4"/>
  <c r="AE1448" i="4" s="1"/>
  <c r="BF1448" i="4"/>
  <c r="BD1448" i="4"/>
  <c r="AX1448" i="4"/>
  <c r="AP1448" i="4"/>
  <c r="AO1448" i="4"/>
  <c r="BH1448" i="4" s="1"/>
  <c r="AD1448" i="4" s="1"/>
  <c r="AK1448" i="4"/>
  <c r="AJ1448" i="4"/>
  <c r="AS1447" i="4" s="1"/>
  <c r="AH1448" i="4"/>
  <c r="AG1448" i="4"/>
  <c r="AF1448" i="4"/>
  <c r="AC1448" i="4"/>
  <c r="AB1448" i="4"/>
  <c r="Z1448" i="4"/>
  <c r="I1448" i="4"/>
  <c r="BJ1444" i="4"/>
  <c r="BF1444" i="4"/>
  <c r="BD1444" i="4"/>
  <c r="AP1444" i="4"/>
  <c r="AO1444" i="4"/>
  <c r="BH1444" i="4" s="1"/>
  <c r="AD1444" i="4" s="1"/>
  <c r="AK1444" i="4"/>
  <c r="AJ1444" i="4"/>
  <c r="AH1444" i="4"/>
  <c r="AG1444" i="4"/>
  <c r="AF1444" i="4"/>
  <c r="AC1444" i="4"/>
  <c r="AB1444" i="4"/>
  <c r="Z1444" i="4"/>
  <c r="I1444" i="4"/>
  <c r="AL1444" i="4" s="1"/>
  <c r="BJ1442" i="4"/>
  <c r="BI1442" i="4"/>
  <c r="BH1442" i="4"/>
  <c r="AD1442" i="4" s="1"/>
  <c r="BF1442" i="4"/>
  <c r="BD1442" i="4"/>
  <c r="BC1442" i="4"/>
  <c r="AX1442" i="4"/>
  <c r="AP1442" i="4"/>
  <c r="AO1442" i="4"/>
  <c r="AW1442" i="4" s="1"/>
  <c r="AV1442" i="4" s="1"/>
  <c r="AL1442" i="4"/>
  <c r="AK1442" i="4"/>
  <c r="AJ1442" i="4"/>
  <c r="AH1442" i="4"/>
  <c r="AG1442" i="4"/>
  <c r="AF1442" i="4"/>
  <c r="AE1442" i="4"/>
  <c r="AC1442" i="4"/>
  <c r="AB1442" i="4"/>
  <c r="Z1442" i="4"/>
  <c r="I1442" i="4"/>
  <c r="BJ1440" i="4"/>
  <c r="BH1440" i="4"/>
  <c r="BF1440" i="4"/>
  <c r="BD1440" i="4"/>
  <c r="AX1440" i="4"/>
  <c r="BC1440" i="4" s="1"/>
  <c r="AW1440" i="4"/>
  <c r="AV1440" i="4"/>
  <c r="AP1440" i="4"/>
  <c r="BI1440" i="4" s="1"/>
  <c r="AO1440" i="4"/>
  <c r="AL1440" i="4"/>
  <c r="AK1440" i="4"/>
  <c r="AJ1440" i="4"/>
  <c r="AH1440" i="4"/>
  <c r="AG1440" i="4"/>
  <c r="AF1440" i="4"/>
  <c r="AE1440" i="4"/>
  <c r="AD1440" i="4"/>
  <c r="AC1440" i="4"/>
  <c r="AB1440" i="4"/>
  <c r="Z1440" i="4"/>
  <c r="I1440" i="4"/>
  <c r="BJ1438" i="4"/>
  <c r="BF1438" i="4"/>
  <c r="BD1438" i="4"/>
  <c r="AP1438" i="4"/>
  <c r="BI1438" i="4" s="1"/>
  <c r="AE1438" i="4" s="1"/>
  <c r="AO1438" i="4"/>
  <c r="BH1438" i="4" s="1"/>
  <c r="AD1438" i="4" s="1"/>
  <c r="AK1438" i="4"/>
  <c r="AJ1438" i="4"/>
  <c r="AH1438" i="4"/>
  <c r="AG1438" i="4"/>
  <c r="AF1438" i="4"/>
  <c r="AC1438" i="4"/>
  <c r="AB1438" i="4"/>
  <c r="Z1438" i="4"/>
  <c r="I1438" i="4"/>
  <c r="AL1438" i="4" s="1"/>
  <c r="BJ1436" i="4"/>
  <c r="BI1436" i="4"/>
  <c r="AE1436" i="4" s="1"/>
  <c r="BF1436" i="4"/>
  <c r="BD1436" i="4"/>
  <c r="AX1436" i="4"/>
  <c r="AP1436" i="4"/>
  <c r="AO1436" i="4"/>
  <c r="BH1436" i="4" s="1"/>
  <c r="AD1436" i="4" s="1"/>
  <c r="AL1436" i="4"/>
  <c r="AK1436" i="4"/>
  <c r="AJ1436" i="4"/>
  <c r="AH1436" i="4"/>
  <c r="AG1436" i="4"/>
  <c r="AF1436" i="4"/>
  <c r="AC1436" i="4"/>
  <c r="AB1436" i="4"/>
  <c r="Z1436" i="4"/>
  <c r="I1436" i="4"/>
  <c r="BJ1434" i="4"/>
  <c r="BH1434" i="4"/>
  <c r="AD1434" i="4" s="1"/>
  <c r="BF1434" i="4"/>
  <c r="BD1434" i="4"/>
  <c r="AW1434" i="4"/>
  <c r="AP1434" i="4"/>
  <c r="BI1434" i="4" s="1"/>
  <c r="AE1434" i="4" s="1"/>
  <c r="AO1434" i="4"/>
  <c r="AL1434" i="4"/>
  <c r="AK1434" i="4"/>
  <c r="AJ1434" i="4"/>
  <c r="AH1434" i="4"/>
  <c r="AG1434" i="4"/>
  <c r="AF1434" i="4"/>
  <c r="AC1434" i="4"/>
  <c r="AB1434" i="4"/>
  <c r="Z1434" i="4"/>
  <c r="I1434" i="4"/>
  <c r="BJ1432" i="4"/>
  <c r="BI1432" i="4"/>
  <c r="AE1432" i="4" s="1"/>
  <c r="BF1432" i="4"/>
  <c r="BD1432" i="4"/>
  <c r="BC1432" i="4"/>
  <c r="AW1432" i="4"/>
  <c r="AV1432" i="4"/>
  <c r="AP1432" i="4"/>
  <c r="AX1432" i="4" s="1"/>
  <c r="AO1432" i="4"/>
  <c r="BH1432" i="4" s="1"/>
  <c r="AD1432" i="4" s="1"/>
  <c r="AK1432" i="4"/>
  <c r="AJ1432" i="4"/>
  <c r="AH1432" i="4"/>
  <c r="AG1432" i="4"/>
  <c r="AF1432" i="4"/>
  <c r="AC1432" i="4"/>
  <c r="AB1432" i="4"/>
  <c r="Z1432" i="4"/>
  <c r="I1432" i="4"/>
  <c r="AL1432" i="4" s="1"/>
  <c r="BJ1430" i="4"/>
  <c r="BF1430" i="4"/>
  <c r="BD1430" i="4"/>
  <c r="AX1430" i="4"/>
  <c r="AP1430" i="4"/>
  <c r="BI1430" i="4" s="1"/>
  <c r="AE1430" i="4" s="1"/>
  <c r="AO1430" i="4"/>
  <c r="AK1430" i="4"/>
  <c r="AJ1430" i="4"/>
  <c r="AH1430" i="4"/>
  <c r="AG1430" i="4"/>
  <c r="AF1430" i="4"/>
  <c r="AC1430" i="4"/>
  <c r="AB1430" i="4"/>
  <c r="Z1430" i="4"/>
  <c r="I1430" i="4"/>
  <c r="AL1430" i="4" s="1"/>
  <c r="BJ1428" i="4"/>
  <c r="BH1428" i="4"/>
  <c r="AD1428" i="4" s="1"/>
  <c r="BF1428" i="4"/>
  <c r="BD1428" i="4"/>
  <c r="AP1428" i="4"/>
  <c r="BI1428" i="4" s="1"/>
  <c r="AE1428" i="4" s="1"/>
  <c r="AO1428" i="4"/>
  <c r="AW1428" i="4" s="1"/>
  <c r="AK1428" i="4"/>
  <c r="AJ1428" i="4"/>
  <c r="AH1428" i="4"/>
  <c r="AG1428" i="4"/>
  <c r="AF1428" i="4"/>
  <c r="AC1428" i="4"/>
  <c r="AB1428" i="4"/>
  <c r="Z1428" i="4"/>
  <c r="I1428" i="4"/>
  <c r="AL1428" i="4" s="1"/>
  <c r="BJ1426" i="4"/>
  <c r="BI1426" i="4"/>
  <c r="AE1426" i="4" s="1"/>
  <c r="BF1426" i="4"/>
  <c r="BD1426" i="4"/>
  <c r="AX1426" i="4"/>
  <c r="AW1426" i="4"/>
  <c r="AV1426" i="4" s="1"/>
  <c r="AP1426" i="4"/>
  <c r="AO1426" i="4"/>
  <c r="BH1426" i="4" s="1"/>
  <c r="AK1426" i="4"/>
  <c r="AJ1426" i="4"/>
  <c r="AH1426" i="4"/>
  <c r="AG1426" i="4"/>
  <c r="AF1426" i="4"/>
  <c r="AD1426" i="4"/>
  <c r="AC1426" i="4"/>
  <c r="AB1426" i="4"/>
  <c r="Z1426" i="4"/>
  <c r="I1426" i="4"/>
  <c r="AL1426" i="4" s="1"/>
  <c r="BJ1424" i="4"/>
  <c r="BH1424" i="4"/>
  <c r="AD1424" i="4" s="1"/>
  <c r="BF1424" i="4"/>
  <c r="BD1424" i="4"/>
  <c r="AW1424" i="4"/>
  <c r="AP1424" i="4"/>
  <c r="AO1424" i="4"/>
  <c r="AL1424" i="4"/>
  <c r="AK1424" i="4"/>
  <c r="AJ1424" i="4"/>
  <c r="AH1424" i="4"/>
  <c r="AG1424" i="4"/>
  <c r="AF1424" i="4"/>
  <c r="AC1424" i="4"/>
  <c r="AB1424" i="4"/>
  <c r="Z1424" i="4"/>
  <c r="I1424" i="4"/>
  <c r="BJ1422" i="4"/>
  <c r="BF1422" i="4"/>
  <c r="BD1422" i="4"/>
  <c r="AX1422" i="4"/>
  <c r="AP1422" i="4"/>
  <c r="BI1422" i="4" s="1"/>
  <c r="AE1422" i="4" s="1"/>
  <c r="AO1422" i="4"/>
  <c r="AK1422" i="4"/>
  <c r="AJ1422" i="4"/>
  <c r="AH1422" i="4"/>
  <c r="AG1422" i="4"/>
  <c r="AF1422" i="4"/>
  <c r="AC1422" i="4"/>
  <c r="AB1422" i="4"/>
  <c r="Z1422" i="4"/>
  <c r="I1422" i="4"/>
  <c r="AL1422" i="4" s="1"/>
  <c r="BJ1420" i="4"/>
  <c r="BI1420" i="4"/>
  <c r="AE1420" i="4" s="1"/>
  <c r="BH1420" i="4"/>
  <c r="AD1420" i="4" s="1"/>
  <c r="BF1420" i="4"/>
  <c r="BD1420" i="4"/>
  <c r="AX1420" i="4"/>
  <c r="AP1420" i="4"/>
  <c r="AO1420" i="4"/>
  <c r="AW1420" i="4" s="1"/>
  <c r="AL1420" i="4"/>
  <c r="AK1420" i="4"/>
  <c r="AJ1420" i="4"/>
  <c r="AH1420" i="4"/>
  <c r="AG1420" i="4"/>
  <c r="AF1420" i="4"/>
  <c r="AC1420" i="4"/>
  <c r="AB1420" i="4"/>
  <c r="Z1420" i="4"/>
  <c r="I1420" i="4"/>
  <c r="BJ1418" i="4"/>
  <c r="BI1418" i="4"/>
  <c r="BH1418" i="4"/>
  <c r="AD1418" i="4" s="1"/>
  <c r="BF1418" i="4"/>
  <c r="BD1418" i="4"/>
  <c r="AX1418" i="4"/>
  <c r="AP1418" i="4"/>
  <c r="AO1418" i="4"/>
  <c r="AW1418" i="4" s="1"/>
  <c r="AK1418" i="4"/>
  <c r="AJ1418" i="4"/>
  <c r="AH1418" i="4"/>
  <c r="AG1418" i="4"/>
  <c r="AF1418" i="4"/>
  <c r="AE1418" i="4"/>
  <c r="AC1418" i="4"/>
  <c r="AB1418" i="4"/>
  <c r="Z1418" i="4"/>
  <c r="I1418" i="4"/>
  <c r="AL1418" i="4" s="1"/>
  <c r="BJ1415" i="4"/>
  <c r="BH1415" i="4"/>
  <c r="BF1415" i="4"/>
  <c r="BD1415" i="4"/>
  <c r="AX1415" i="4"/>
  <c r="BC1415" i="4" s="1"/>
  <c r="AW1415" i="4"/>
  <c r="AV1415" i="4"/>
  <c r="AP1415" i="4"/>
  <c r="BI1415" i="4" s="1"/>
  <c r="AE1415" i="4" s="1"/>
  <c r="AO1415" i="4"/>
  <c r="AL1415" i="4"/>
  <c r="AK1415" i="4"/>
  <c r="AJ1415" i="4"/>
  <c r="AH1415" i="4"/>
  <c r="AG1415" i="4"/>
  <c r="AF1415" i="4"/>
  <c r="AD1415" i="4"/>
  <c r="AC1415" i="4"/>
  <c r="AB1415" i="4"/>
  <c r="Z1415" i="4"/>
  <c r="I1415" i="4"/>
  <c r="BJ1413" i="4"/>
  <c r="BF1413" i="4"/>
  <c r="BD1413" i="4"/>
  <c r="AP1413" i="4"/>
  <c r="AO1413" i="4"/>
  <c r="BH1413" i="4" s="1"/>
  <c r="AD1413" i="4" s="1"/>
  <c r="AK1413" i="4"/>
  <c r="AJ1413" i="4"/>
  <c r="AH1413" i="4"/>
  <c r="AG1413" i="4"/>
  <c r="AF1413" i="4"/>
  <c r="AC1413" i="4"/>
  <c r="AB1413" i="4"/>
  <c r="Z1413" i="4"/>
  <c r="I1413" i="4"/>
  <c r="AL1413" i="4" s="1"/>
  <c r="BJ1410" i="4"/>
  <c r="BI1410" i="4"/>
  <c r="AE1410" i="4" s="1"/>
  <c r="BF1410" i="4"/>
  <c r="BD1410" i="4"/>
  <c r="AX1410" i="4"/>
  <c r="AW1410" i="4"/>
  <c r="AP1410" i="4"/>
  <c r="AO1410" i="4"/>
  <c r="BH1410" i="4" s="1"/>
  <c r="AD1410" i="4" s="1"/>
  <c r="AL1410" i="4"/>
  <c r="AK1410" i="4"/>
  <c r="AJ1410" i="4"/>
  <c r="AH1410" i="4"/>
  <c r="AG1410" i="4"/>
  <c r="AF1410" i="4"/>
  <c r="AC1410" i="4"/>
  <c r="AB1410" i="4"/>
  <c r="Z1410" i="4"/>
  <c r="I1410" i="4"/>
  <c r="BJ1408" i="4"/>
  <c r="BH1408" i="4"/>
  <c r="AD1408" i="4" s="1"/>
  <c r="BF1408" i="4"/>
  <c r="BD1408" i="4"/>
  <c r="AX1408" i="4"/>
  <c r="AV1408" i="4" s="1"/>
  <c r="AW1408" i="4"/>
  <c r="AP1408" i="4"/>
  <c r="BI1408" i="4" s="1"/>
  <c r="AE1408" i="4" s="1"/>
  <c r="AO1408" i="4"/>
  <c r="AL1408" i="4"/>
  <c r="AK1408" i="4"/>
  <c r="AJ1408" i="4"/>
  <c r="AH1408" i="4"/>
  <c r="AG1408" i="4"/>
  <c r="AF1408" i="4"/>
  <c r="AC1408" i="4"/>
  <c r="AB1408" i="4"/>
  <c r="Z1408" i="4"/>
  <c r="I1408" i="4"/>
  <c r="BJ1405" i="4"/>
  <c r="BI1405" i="4"/>
  <c r="BF1405" i="4"/>
  <c r="BD1405" i="4"/>
  <c r="AW1405" i="4"/>
  <c r="AV1405" i="4" s="1"/>
  <c r="AP1405" i="4"/>
  <c r="AX1405" i="4" s="1"/>
  <c r="AO1405" i="4"/>
  <c r="BH1405" i="4" s="1"/>
  <c r="AD1405" i="4" s="1"/>
  <c r="AK1405" i="4"/>
  <c r="AJ1405" i="4"/>
  <c r="AH1405" i="4"/>
  <c r="AG1405" i="4"/>
  <c r="AF1405" i="4"/>
  <c r="AE1405" i="4"/>
  <c r="AC1405" i="4"/>
  <c r="AB1405" i="4"/>
  <c r="Z1405" i="4"/>
  <c r="I1405" i="4"/>
  <c r="AL1405" i="4" s="1"/>
  <c r="BJ1402" i="4"/>
  <c r="BF1402" i="4"/>
  <c r="BD1402" i="4"/>
  <c r="AP1402" i="4"/>
  <c r="AO1402" i="4"/>
  <c r="AK1402" i="4"/>
  <c r="AJ1402" i="4"/>
  <c r="AH1402" i="4"/>
  <c r="AG1402" i="4"/>
  <c r="AF1402" i="4"/>
  <c r="AC1402" i="4"/>
  <c r="AB1402" i="4"/>
  <c r="Z1402" i="4"/>
  <c r="I1402" i="4"/>
  <c r="AL1402" i="4" s="1"/>
  <c r="BJ1400" i="4"/>
  <c r="BF1400" i="4"/>
  <c r="BD1400" i="4"/>
  <c r="AP1400" i="4"/>
  <c r="AO1400" i="4"/>
  <c r="BH1400" i="4" s="1"/>
  <c r="AD1400" i="4" s="1"/>
  <c r="AL1400" i="4"/>
  <c r="AK1400" i="4"/>
  <c r="AJ1400" i="4"/>
  <c r="AH1400" i="4"/>
  <c r="AG1400" i="4"/>
  <c r="AF1400" i="4"/>
  <c r="AC1400" i="4"/>
  <c r="AB1400" i="4"/>
  <c r="Z1400" i="4"/>
  <c r="I1400" i="4"/>
  <c r="BJ1398" i="4"/>
  <c r="BI1398" i="4"/>
  <c r="AE1398" i="4" s="1"/>
  <c r="BF1398" i="4"/>
  <c r="BD1398" i="4"/>
  <c r="AX1398" i="4"/>
  <c r="AP1398" i="4"/>
  <c r="AO1398" i="4"/>
  <c r="BH1398" i="4" s="1"/>
  <c r="AL1398" i="4"/>
  <c r="AK1398" i="4"/>
  <c r="AJ1398" i="4"/>
  <c r="AH1398" i="4"/>
  <c r="AG1398" i="4"/>
  <c r="AF1398" i="4"/>
  <c r="AD1398" i="4"/>
  <c r="AC1398" i="4"/>
  <c r="AB1398" i="4"/>
  <c r="Z1398" i="4"/>
  <c r="I1398" i="4"/>
  <c r="BJ1396" i="4"/>
  <c r="BH1396" i="4"/>
  <c r="AD1396" i="4" s="1"/>
  <c r="BF1396" i="4"/>
  <c r="BD1396" i="4"/>
  <c r="AW1396" i="4"/>
  <c r="BC1396" i="4" s="1"/>
  <c r="AP1396" i="4"/>
  <c r="AX1396" i="4" s="1"/>
  <c r="AO1396" i="4"/>
  <c r="AL1396" i="4"/>
  <c r="AK1396" i="4"/>
  <c r="AJ1396" i="4"/>
  <c r="AH1396" i="4"/>
  <c r="AG1396" i="4"/>
  <c r="AF1396" i="4"/>
  <c r="AC1396" i="4"/>
  <c r="AB1396" i="4"/>
  <c r="Z1396" i="4"/>
  <c r="I1396" i="4"/>
  <c r="BJ1393" i="4"/>
  <c r="BF1393" i="4"/>
  <c r="BD1393" i="4"/>
  <c r="AP1393" i="4"/>
  <c r="AO1393" i="4"/>
  <c r="AK1393" i="4"/>
  <c r="AT1392" i="4" s="1"/>
  <c r="AJ1393" i="4"/>
  <c r="AH1393" i="4"/>
  <c r="AG1393" i="4"/>
  <c r="AF1393" i="4"/>
  <c r="AC1393" i="4"/>
  <c r="AB1393" i="4"/>
  <c r="Z1393" i="4"/>
  <c r="I1393" i="4"/>
  <c r="AS1392" i="4"/>
  <c r="BJ1387" i="4"/>
  <c r="BF1387" i="4"/>
  <c r="BD1387" i="4"/>
  <c r="AX1387" i="4"/>
  <c r="AP1387" i="4"/>
  <c r="BI1387" i="4" s="1"/>
  <c r="AE1387" i="4" s="1"/>
  <c r="AO1387" i="4"/>
  <c r="AK1387" i="4"/>
  <c r="AJ1387" i="4"/>
  <c r="AH1387" i="4"/>
  <c r="AG1387" i="4"/>
  <c r="AF1387" i="4"/>
  <c r="AC1387" i="4"/>
  <c r="AB1387" i="4"/>
  <c r="Z1387" i="4"/>
  <c r="I1387" i="4"/>
  <c r="I1386" i="4" s="1"/>
  <c r="AT1386" i="4"/>
  <c r="AS1386" i="4"/>
  <c r="BJ1384" i="4"/>
  <c r="BH1384" i="4"/>
  <c r="BF1384" i="4"/>
  <c r="BD1384" i="4"/>
  <c r="AW1384" i="4"/>
  <c r="AP1384" i="4"/>
  <c r="BI1384" i="4" s="1"/>
  <c r="AC1384" i="4" s="1"/>
  <c r="AO1384" i="4"/>
  <c r="AL1384" i="4"/>
  <c r="AK1384" i="4"/>
  <c r="AJ1384" i="4"/>
  <c r="AH1384" i="4"/>
  <c r="AG1384" i="4"/>
  <c r="AF1384" i="4"/>
  <c r="AE1384" i="4"/>
  <c r="AD1384" i="4"/>
  <c r="AB1384" i="4"/>
  <c r="Z1384" i="4"/>
  <c r="I1384" i="4"/>
  <c r="AU1383" i="4"/>
  <c r="AT1383" i="4"/>
  <c r="AS1383" i="4"/>
  <c r="I1383" i="4"/>
  <c r="BJ1380" i="4"/>
  <c r="BF1380" i="4"/>
  <c r="BD1380" i="4"/>
  <c r="AP1380" i="4"/>
  <c r="AO1380" i="4"/>
  <c r="AW1380" i="4" s="1"/>
  <c r="AL1380" i="4"/>
  <c r="AK1380" i="4"/>
  <c r="AJ1380" i="4"/>
  <c r="AH1380" i="4"/>
  <c r="AG1380" i="4"/>
  <c r="AF1380" i="4"/>
  <c r="AE1380" i="4"/>
  <c r="AD1380" i="4"/>
  <c r="Z1380" i="4"/>
  <c r="I1380" i="4"/>
  <c r="BJ1377" i="4"/>
  <c r="BF1377" i="4"/>
  <c r="BD1377" i="4"/>
  <c r="AW1377" i="4"/>
  <c r="AP1377" i="4"/>
  <c r="BI1377" i="4" s="1"/>
  <c r="AC1377" i="4" s="1"/>
  <c r="AO1377" i="4"/>
  <c r="BH1377" i="4" s="1"/>
  <c r="AB1377" i="4" s="1"/>
  <c r="AK1377" i="4"/>
  <c r="AT1371" i="4" s="1"/>
  <c r="AJ1377" i="4"/>
  <c r="AH1377" i="4"/>
  <c r="AG1377" i="4"/>
  <c r="AF1377" i="4"/>
  <c r="AE1377" i="4"/>
  <c r="AD1377" i="4"/>
  <c r="Z1377" i="4"/>
  <c r="I1377" i="4"/>
  <c r="BJ1374" i="4"/>
  <c r="BI1374" i="4"/>
  <c r="BH1374" i="4"/>
  <c r="AB1374" i="4" s="1"/>
  <c r="BF1374" i="4"/>
  <c r="BD1374" i="4"/>
  <c r="AX1374" i="4"/>
  <c r="AW1374" i="4"/>
  <c r="AP1374" i="4"/>
  <c r="AO1374" i="4"/>
  <c r="AL1374" i="4"/>
  <c r="AK1374" i="4"/>
  <c r="AJ1374" i="4"/>
  <c r="AH1374" i="4"/>
  <c r="AG1374" i="4"/>
  <c r="AF1374" i="4"/>
  <c r="AE1374" i="4"/>
  <c r="AD1374" i="4"/>
  <c r="AC1374" i="4"/>
  <c r="Z1374" i="4"/>
  <c r="I1374" i="4"/>
  <c r="BJ1372" i="4"/>
  <c r="BH1372" i="4"/>
  <c r="AB1372" i="4" s="1"/>
  <c r="BF1372" i="4"/>
  <c r="BD1372" i="4"/>
  <c r="AX1372" i="4"/>
  <c r="AW1372" i="4"/>
  <c r="AP1372" i="4"/>
  <c r="BI1372" i="4" s="1"/>
  <c r="AO1372" i="4"/>
  <c r="AL1372" i="4"/>
  <c r="AK1372" i="4"/>
  <c r="AJ1372" i="4"/>
  <c r="AH1372" i="4"/>
  <c r="AG1372" i="4"/>
  <c r="AF1372" i="4"/>
  <c r="AE1372" i="4"/>
  <c r="AD1372" i="4"/>
  <c r="AC1372" i="4"/>
  <c r="Z1372" i="4"/>
  <c r="I1372" i="4"/>
  <c r="BJ1369" i="4"/>
  <c r="BF1369" i="4"/>
  <c r="BD1369" i="4"/>
  <c r="AW1369" i="4"/>
  <c r="AP1369" i="4"/>
  <c r="BI1369" i="4" s="1"/>
  <c r="AC1369" i="4" s="1"/>
  <c r="AO1369" i="4"/>
  <c r="BH1369" i="4" s="1"/>
  <c r="AB1369" i="4" s="1"/>
  <c r="AL1369" i="4"/>
  <c r="AK1369" i="4"/>
  <c r="AJ1369" i="4"/>
  <c r="AH1369" i="4"/>
  <c r="AG1369" i="4"/>
  <c r="AF1369" i="4"/>
  <c r="AE1369" i="4"/>
  <c r="AD1369" i="4"/>
  <c r="Z1369" i="4"/>
  <c r="I1369" i="4"/>
  <c r="BJ1367" i="4"/>
  <c r="BH1367" i="4"/>
  <c r="AB1367" i="4" s="1"/>
  <c r="BF1367" i="4"/>
  <c r="BD1367" i="4"/>
  <c r="AX1367" i="4"/>
  <c r="AW1367" i="4"/>
  <c r="AP1367" i="4"/>
  <c r="BI1367" i="4" s="1"/>
  <c r="AC1367" i="4" s="1"/>
  <c r="AO1367" i="4"/>
  <c r="AK1367" i="4"/>
  <c r="AJ1367" i="4"/>
  <c r="AH1367" i="4"/>
  <c r="AG1367" i="4"/>
  <c r="AF1367" i="4"/>
  <c r="AE1367" i="4"/>
  <c r="AD1367" i="4"/>
  <c r="Z1367" i="4"/>
  <c r="I1367" i="4"/>
  <c r="AL1367" i="4" s="1"/>
  <c r="BJ1365" i="4"/>
  <c r="BI1365" i="4"/>
  <c r="BF1365" i="4"/>
  <c r="BD1365" i="4"/>
  <c r="AX1365" i="4"/>
  <c r="AP1365" i="4"/>
  <c r="AO1365" i="4"/>
  <c r="BH1365" i="4" s="1"/>
  <c r="AB1365" i="4" s="1"/>
  <c r="AK1365" i="4"/>
  <c r="AJ1365" i="4"/>
  <c r="AH1365" i="4"/>
  <c r="AG1365" i="4"/>
  <c r="AF1365" i="4"/>
  <c r="AE1365" i="4"/>
  <c r="AD1365" i="4"/>
  <c r="AC1365" i="4"/>
  <c r="Z1365" i="4"/>
  <c r="I1365" i="4"/>
  <c r="AL1365" i="4" s="1"/>
  <c r="AU1362" i="4" s="1"/>
  <c r="BJ1363" i="4"/>
  <c r="BH1363" i="4"/>
  <c r="AB1363" i="4" s="1"/>
  <c r="BF1363" i="4"/>
  <c r="BD1363" i="4"/>
  <c r="AX1363" i="4"/>
  <c r="AW1363" i="4"/>
  <c r="AP1363" i="4"/>
  <c r="BI1363" i="4" s="1"/>
  <c r="AC1363" i="4" s="1"/>
  <c r="AO1363" i="4"/>
  <c r="AL1363" i="4"/>
  <c r="AK1363" i="4"/>
  <c r="AJ1363" i="4"/>
  <c r="AH1363" i="4"/>
  <c r="AG1363" i="4"/>
  <c r="AF1363" i="4"/>
  <c r="AE1363" i="4"/>
  <c r="AD1363" i="4"/>
  <c r="Z1363" i="4"/>
  <c r="I1363" i="4"/>
  <c r="AT1362" i="4"/>
  <c r="I1362" i="4"/>
  <c r="BJ1360" i="4"/>
  <c r="BF1360" i="4"/>
  <c r="BD1360" i="4"/>
  <c r="AW1360" i="4"/>
  <c r="AP1360" i="4"/>
  <c r="AX1360" i="4" s="1"/>
  <c r="AV1360" i="4" s="1"/>
  <c r="AO1360" i="4"/>
  <c r="BH1360" i="4" s="1"/>
  <c r="AB1360" i="4" s="1"/>
  <c r="AL1360" i="4"/>
  <c r="AK1360" i="4"/>
  <c r="AJ1360" i="4"/>
  <c r="AH1360" i="4"/>
  <c r="AG1360" i="4"/>
  <c r="AF1360" i="4"/>
  <c r="AE1360" i="4"/>
  <c r="AD1360" i="4"/>
  <c r="Z1360" i="4"/>
  <c r="I1360" i="4"/>
  <c r="BJ1358" i="4"/>
  <c r="BI1358" i="4"/>
  <c r="AC1358" i="4" s="1"/>
  <c r="BH1358" i="4"/>
  <c r="AB1358" i="4" s="1"/>
  <c r="BF1358" i="4"/>
  <c r="BD1358" i="4"/>
  <c r="AW1358" i="4"/>
  <c r="AP1358" i="4"/>
  <c r="AX1358" i="4" s="1"/>
  <c r="AO1358" i="4"/>
  <c r="AK1358" i="4"/>
  <c r="AJ1358" i="4"/>
  <c r="AS1354" i="4" s="1"/>
  <c r="AH1358" i="4"/>
  <c r="AG1358" i="4"/>
  <c r="AF1358" i="4"/>
  <c r="AE1358" i="4"/>
  <c r="AD1358" i="4"/>
  <c r="Z1358" i="4"/>
  <c r="I1358" i="4"/>
  <c r="AL1358" i="4" s="1"/>
  <c r="BJ1355" i="4"/>
  <c r="BI1355" i="4"/>
  <c r="BH1355" i="4"/>
  <c r="BF1355" i="4"/>
  <c r="BD1355" i="4"/>
  <c r="AX1355" i="4"/>
  <c r="AW1355" i="4"/>
  <c r="AV1355" i="4"/>
  <c r="AP1355" i="4"/>
  <c r="AO1355" i="4"/>
  <c r="AL1355" i="4"/>
  <c r="AK1355" i="4"/>
  <c r="AJ1355" i="4"/>
  <c r="AH1355" i="4"/>
  <c r="AG1355" i="4"/>
  <c r="AF1355" i="4"/>
  <c r="AE1355" i="4"/>
  <c r="AD1355" i="4"/>
  <c r="AC1355" i="4"/>
  <c r="AB1355" i="4"/>
  <c r="Z1355" i="4"/>
  <c r="I1355" i="4"/>
  <c r="I1354" i="4" s="1"/>
  <c r="AU1354" i="4"/>
  <c r="BU1350" i="4"/>
  <c r="BJ1350" i="4"/>
  <c r="BI1350" i="4"/>
  <c r="BH1350" i="4"/>
  <c r="BF1350" i="4"/>
  <c r="BD1350" i="4"/>
  <c r="AX1350" i="4"/>
  <c r="BC1350" i="4" s="1"/>
  <c r="AV1350" i="4"/>
  <c r="AP1350" i="4"/>
  <c r="AO1350" i="4"/>
  <c r="AW1350" i="4" s="1"/>
  <c r="AK1350" i="4"/>
  <c r="AJ1350" i="4"/>
  <c r="AS1346" i="4" s="1"/>
  <c r="AH1350" i="4"/>
  <c r="AG1350" i="4"/>
  <c r="AF1350" i="4"/>
  <c r="AE1350" i="4"/>
  <c r="AD1350" i="4"/>
  <c r="AC1350" i="4"/>
  <c r="AB1350" i="4"/>
  <c r="Z1350" i="4"/>
  <c r="I1350" i="4"/>
  <c r="AL1350" i="4" s="1"/>
  <c r="BU1349" i="4"/>
  <c r="BJ1349" i="4"/>
  <c r="BI1349" i="4"/>
  <c r="BF1349" i="4"/>
  <c r="BD1349" i="4"/>
  <c r="AX1349" i="4"/>
  <c r="AP1349" i="4"/>
  <c r="AO1349" i="4"/>
  <c r="AK1349" i="4"/>
  <c r="AJ1349" i="4"/>
  <c r="AH1349" i="4"/>
  <c r="AG1349" i="4"/>
  <c r="AF1349" i="4"/>
  <c r="AE1349" i="4"/>
  <c r="AD1349" i="4"/>
  <c r="AC1349" i="4"/>
  <c r="AB1349" i="4"/>
  <c r="Z1349" i="4"/>
  <c r="I1349" i="4"/>
  <c r="AL1349" i="4" s="1"/>
  <c r="BU1348" i="4"/>
  <c r="BJ1348" i="4"/>
  <c r="BH1348" i="4"/>
  <c r="BF1348" i="4"/>
  <c r="BD1348" i="4"/>
  <c r="AX1348" i="4"/>
  <c r="AW1348" i="4"/>
  <c r="AP1348" i="4"/>
  <c r="BI1348" i="4" s="1"/>
  <c r="AO1348" i="4"/>
  <c r="AK1348" i="4"/>
  <c r="AJ1348" i="4"/>
  <c r="AH1348" i="4"/>
  <c r="AG1348" i="4"/>
  <c r="AF1348" i="4"/>
  <c r="AE1348" i="4"/>
  <c r="AD1348" i="4"/>
  <c r="AC1348" i="4"/>
  <c r="AB1348" i="4"/>
  <c r="Z1348" i="4"/>
  <c r="I1348" i="4"/>
  <c r="AL1348" i="4" s="1"/>
  <c r="BU1347" i="4"/>
  <c r="BJ1347" i="4"/>
  <c r="BF1347" i="4"/>
  <c r="BD1347" i="4"/>
  <c r="AW1347" i="4"/>
  <c r="AP1347" i="4"/>
  <c r="AO1347" i="4"/>
  <c r="BH1347" i="4" s="1"/>
  <c r="AK1347" i="4"/>
  <c r="AT1346" i="4" s="1"/>
  <c r="AJ1347" i="4"/>
  <c r="AH1347" i="4"/>
  <c r="AG1347" i="4"/>
  <c r="AF1347" i="4"/>
  <c r="AE1347" i="4"/>
  <c r="AD1347" i="4"/>
  <c r="AC1347" i="4"/>
  <c r="AB1347" i="4"/>
  <c r="Z1347" i="4"/>
  <c r="I1347" i="4"/>
  <c r="AL1347" i="4" s="1"/>
  <c r="AU1346" i="4" s="1"/>
  <c r="BJ1343" i="4"/>
  <c r="BI1343" i="4"/>
  <c r="AC1343" i="4" s="1"/>
  <c r="BH1343" i="4"/>
  <c r="BF1343" i="4"/>
  <c r="BD1343" i="4"/>
  <c r="AX1343" i="4"/>
  <c r="AV1343" i="4"/>
  <c r="AP1343" i="4"/>
  <c r="AO1343" i="4"/>
  <c r="AW1343" i="4" s="1"/>
  <c r="BC1343" i="4" s="1"/>
  <c r="AL1343" i="4"/>
  <c r="AK1343" i="4"/>
  <c r="AJ1343" i="4"/>
  <c r="AH1343" i="4"/>
  <c r="AG1343" i="4"/>
  <c r="AF1343" i="4"/>
  <c r="AE1343" i="4"/>
  <c r="AD1343" i="4"/>
  <c r="AB1343" i="4"/>
  <c r="Z1343" i="4"/>
  <c r="I1343" i="4"/>
  <c r="BJ1342" i="4"/>
  <c r="BF1342" i="4"/>
  <c r="BD1342" i="4"/>
  <c r="AP1342" i="4"/>
  <c r="AX1342" i="4" s="1"/>
  <c r="BC1342" i="4" s="1"/>
  <c r="AO1342" i="4"/>
  <c r="AW1342" i="4" s="1"/>
  <c r="AK1342" i="4"/>
  <c r="AJ1342" i="4"/>
  <c r="AH1342" i="4"/>
  <c r="AG1342" i="4"/>
  <c r="AF1342" i="4"/>
  <c r="AE1342" i="4"/>
  <c r="AD1342" i="4"/>
  <c r="Z1342" i="4"/>
  <c r="I1342" i="4"/>
  <c r="AL1342" i="4" s="1"/>
  <c r="BJ1341" i="4"/>
  <c r="BI1341" i="4"/>
  <c r="BF1341" i="4"/>
  <c r="BD1341" i="4"/>
  <c r="AX1341" i="4"/>
  <c r="AP1341" i="4"/>
  <c r="AO1341" i="4"/>
  <c r="BH1341" i="4" s="1"/>
  <c r="AB1341" i="4" s="1"/>
  <c r="AK1341" i="4"/>
  <c r="AJ1341" i="4"/>
  <c r="AH1341" i="4"/>
  <c r="AG1341" i="4"/>
  <c r="AF1341" i="4"/>
  <c r="AE1341" i="4"/>
  <c r="AD1341" i="4"/>
  <c r="AC1341" i="4"/>
  <c r="Z1341" i="4"/>
  <c r="I1341" i="4"/>
  <c r="AL1341" i="4" s="1"/>
  <c r="BJ1340" i="4"/>
  <c r="BH1340" i="4"/>
  <c r="BF1340" i="4"/>
  <c r="BD1340" i="4"/>
  <c r="AX1340" i="4"/>
  <c r="AW1340" i="4"/>
  <c r="BC1340" i="4" s="1"/>
  <c r="AP1340" i="4"/>
  <c r="BI1340" i="4" s="1"/>
  <c r="AO1340" i="4"/>
  <c r="AL1340" i="4"/>
  <c r="AK1340" i="4"/>
  <c r="AJ1340" i="4"/>
  <c r="AH1340" i="4"/>
  <c r="AG1340" i="4"/>
  <c r="AF1340" i="4"/>
  <c r="AE1340" i="4"/>
  <c r="AD1340" i="4"/>
  <c r="AC1340" i="4"/>
  <c r="AB1340" i="4"/>
  <c r="Z1340" i="4"/>
  <c r="I1340" i="4"/>
  <c r="BJ1339" i="4"/>
  <c r="BF1339" i="4"/>
  <c r="BD1339" i="4"/>
  <c r="AW1339" i="4"/>
  <c r="AP1339" i="4"/>
  <c r="AO1339" i="4"/>
  <c r="BH1339" i="4" s="1"/>
  <c r="AK1339" i="4"/>
  <c r="AJ1339" i="4"/>
  <c r="AH1339" i="4"/>
  <c r="AG1339" i="4"/>
  <c r="AF1339" i="4"/>
  <c r="AE1339" i="4"/>
  <c r="AD1339" i="4"/>
  <c r="AB1339" i="4"/>
  <c r="Z1339" i="4"/>
  <c r="I1339" i="4"/>
  <c r="AL1339" i="4" s="1"/>
  <c r="BJ1338" i="4"/>
  <c r="BF1338" i="4"/>
  <c r="BD1338" i="4"/>
  <c r="AP1338" i="4"/>
  <c r="AX1338" i="4" s="1"/>
  <c r="AO1338" i="4"/>
  <c r="AK1338" i="4"/>
  <c r="AJ1338" i="4"/>
  <c r="AH1338" i="4"/>
  <c r="AG1338" i="4"/>
  <c r="AF1338" i="4"/>
  <c r="AE1338" i="4"/>
  <c r="AD1338" i="4"/>
  <c r="Z1338" i="4"/>
  <c r="I1338" i="4"/>
  <c r="AL1338" i="4" s="1"/>
  <c r="BJ1337" i="4"/>
  <c r="BF1337" i="4"/>
  <c r="BD1337" i="4"/>
  <c r="AP1337" i="4"/>
  <c r="BI1337" i="4" s="1"/>
  <c r="AC1337" i="4" s="1"/>
  <c r="AO1337" i="4"/>
  <c r="AW1337" i="4" s="1"/>
  <c r="AK1337" i="4"/>
  <c r="AJ1337" i="4"/>
  <c r="AH1337" i="4"/>
  <c r="AG1337" i="4"/>
  <c r="AF1337" i="4"/>
  <c r="AE1337" i="4"/>
  <c r="AD1337" i="4"/>
  <c r="Z1337" i="4"/>
  <c r="I1337" i="4"/>
  <c r="AL1337" i="4" s="1"/>
  <c r="BJ1336" i="4"/>
  <c r="BF1336" i="4"/>
  <c r="BD1336" i="4"/>
  <c r="AW1336" i="4"/>
  <c r="AP1336" i="4"/>
  <c r="BI1336" i="4" s="1"/>
  <c r="AO1336" i="4"/>
  <c r="BH1336" i="4" s="1"/>
  <c r="AF1336" i="4" s="1"/>
  <c r="AK1336" i="4"/>
  <c r="AJ1336" i="4"/>
  <c r="AH1336" i="4"/>
  <c r="AG1336" i="4"/>
  <c r="AE1336" i="4"/>
  <c r="AD1336" i="4"/>
  <c r="AC1336" i="4"/>
  <c r="AB1336" i="4"/>
  <c r="Z1336" i="4"/>
  <c r="I1336" i="4"/>
  <c r="AL1336" i="4" s="1"/>
  <c r="BJ1335" i="4"/>
  <c r="BI1335" i="4"/>
  <c r="AG1335" i="4" s="1"/>
  <c r="BF1335" i="4"/>
  <c r="BD1335" i="4"/>
  <c r="AP1335" i="4"/>
  <c r="AX1335" i="4" s="1"/>
  <c r="AO1335" i="4"/>
  <c r="BH1335" i="4" s="1"/>
  <c r="AF1335" i="4" s="1"/>
  <c r="AL1335" i="4"/>
  <c r="AK1335" i="4"/>
  <c r="AJ1335" i="4"/>
  <c r="AH1335" i="4"/>
  <c r="AE1335" i="4"/>
  <c r="AD1335" i="4"/>
  <c r="AC1335" i="4"/>
  <c r="AB1335" i="4"/>
  <c r="Z1335" i="4"/>
  <c r="I1335" i="4"/>
  <c r="BJ1334" i="4"/>
  <c r="BI1334" i="4"/>
  <c r="AC1334" i="4" s="1"/>
  <c r="BH1334" i="4"/>
  <c r="AB1334" i="4" s="1"/>
  <c r="BF1334" i="4"/>
  <c r="BD1334" i="4"/>
  <c r="AP1334" i="4"/>
  <c r="AX1334" i="4" s="1"/>
  <c r="BC1334" i="4" s="1"/>
  <c r="AO1334" i="4"/>
  <c r="AW1334" i="4" s="1"/>
  <c r="AL1334" i="4"/>
  <c r="AK1334" i="4"/>
  <c r="AJ1334" i="4"/>
  <c r="AH1334" i="4"/>
  <c r="AG1334" i="4"/>
  <c r="AF1334" i="4"/>
  <c r="AE1334" i="4"/>
  <c r="AD1334" i="4"/>
  <c r="Z1334" i="4"/>
  <c r="I1334" i="4"/>
  <c r="BJ1333" i="4"/>
  <c r="BI1333" i="4"/>
  <c r="BF1333" i="4"/>
  <c r="BD1333" i="4"/>
  <c r="AX1333" i="4"/>
  <c r="AP1333" i="4"/>
  <c r="AO1333" i="4"/>
  <c r="AW1333" i="4" s="1"/>
  <c r="AK1333" i="4"/>
  <c r="AJ1333" i="4"/>
  <c r="AH1333" i="4"/>
  <c r="AG1333" i="4"/>
  <c r="AE1333" i="4"/>
  <c r="AD1333" i="4"/>
  <c r="AC1333" i="4"/>
  <c r="AB1333" i="4"/>
  <c r="Z1333" i="4"/>
  <c r="I1333" i="4"/>
  <c r="AL1333" i="4" s="1"/>
  <c r="BJ1332" i="4"/>
  <c r="BI1332" i="4"/>
  <c r="BH1332" i="4"/>
  <c r="AB1332" i="4" s="1"/>
  <c r="BF1332" i="4"/>
  <c r="BD1332" i="4"/>
  <c r="AW1332" i="4"/>
  <c r="AP1332" i="4"/>
  <c r="AX1332" i="4" s="1"/>
  <c r="AO1332" i="4"/>
  <c r="AL1332" i="4"/>
  <c r="AK1332" i="4"/>
  <c r="AJ1332" i="4"/>
  <c r="AH1332" i="4"/>
  <c r="AG1332" i="4"/>
  <c r="AF1332" i="4"/>
  <c r="AE1332" i="4"/>
  <c r="AD1332" i="4"/>
  <c r="AC1332" i="4"/>
  <c r="Z1332" i="4"/>
  <c r="I1332" i="4"/>
  <c r="BJ1331" i="4"/>
  <c r="BI1331" i="4"/>
  <c r="AC1331" i="4" s="1"/>
  <c r="BH1331" i="4"/>
  <c r="BF1331" i="4"/>
  <c r="BD1331" i="4"/>
  <c r="AV1331" i="4"/>
  <c r="AP1331" i="4"/>
  <c r="AX1331" i="4" s="1"/>
  <c r="BC1331" i="4" s="1"/>
  <c r="AO1331" i="4"/>
  <c r="AW1331" i="4" s="1"/>
  <c r="AL1331" i="4"/>
  <c r="AK1331" i="4"/>
  <c r="AJ1331" i="4"/>
  <c r="AH1331" i="4"/>
  <c r="AG1331" i="4"/>
  <c r="AF1331" i="4"/>
  <c r="AE1331" i="4"/>
  <c r="AD1331" i="4"/>
  <c r="AB1331" i="4"/>
  <c r="Z1331" i="4"/>
  <c r="I1331" i="4"/>
  <c r="BJ1330" i="4"/>
  <c r="BI1330" i="4"/>
  <c r="AC1330" i="4" s="1"/>
  <c r="BH1330" i="4"/>
  <c r="AB1330" i="4" s="1"/>
  <c r="BF1330" i="4"/>
  <c r="BD1330" i="4"/>
  <c r="AP1330" i="4"/>
  <c r="AX1330" i="4" s="1"/>
  <c r="AO1330" i="4"/>
  <c r="AW1330" i="4" s="1"/>
  <c r="AK1330" i="4"/>
  <c r="AJ1330" i="4"/>
  <c r="AH1330" i="4"/>
  <c r="AG1330" i="4"/>
  <c r="AF1330" i="4"/>
  <c r="AE1330" i="4"/>
  <c r="AD1330" i="4"/>
  <c r="Z1330" i="4"/>
  <c r="I1330" i="4"/>
  <c r="AL1330" i="4" s="1"/>
  <c r="BJ1328" i="4"/>
  <c r="BI1328" i="4"/>
  <c r="BH1328" i="4"/>
  <c r="AB1328" i="4" s="1"/>
  <c r="BF1328" i="4"/>
  <c r="BD1328" i="4"/>
  <c r="AX1328" i="4"/>
  <c r="AW1328" i="4"/>
  <c r="AV1328" i="4" s="1"/>
  <c r="AP1328" i="4"/>
  <c r="AO1328" i="4"/>
  <c r="AK1328" i="4"/>
  <c r="AJ1328" i="4"/>
  <c r="AH1328" i="4"/>
  <c r="AG1328" i="4"/>
  <c r="AF1328" i="4"/>
  <c r="AE1328" i="4"/>
  <c r="AD1328" i="4"/>
  <c r="AC1328" i="4"/>
  <c r="Z1328" i="4"/>
  <c r="I1328" i="4"/>
  <c r="AL1328" i="4" s="1"/>
  <c r="BJ1327" i="4"/>
  <c r="BH1327" i="4"/>
  <c r="BF1327" i="4"/>
  <c r="BD1327" i="4"/>
  <c r="AX1327" i="4"/>
  <c r="AW1327" i="4"/>
  <c r="BC1327" i="4" s="1"/>
  <c r="AP1327" i="4"/>
  <c r="BI1327" i="4" s="1"/>
  <c r="AC1327" i="4" s="1"/>
  <c r="AO1327" i="4"/>
  <c r="AL1327" i="4"/>
  <c r="AK1327" i="4"/>
  <c r="AJ1327" i="4"/>
  <c r="AH1327" i="4"/>
  <c r="AG1327" i="4"/>
  <c r="AF1327" i="4"/>
  <c r="AE1327" i="4"/>
  <c r="AD1327" i="4"/>
  <c r="AB1327" i="4"/>
  <c r="Z1327" i="4"/>
  <c r="I1327" i="4"/>
  <c r="BJ1326" i="4"/>
  <c r="BF1326" i="4"/>
  <c r="BD1326" i="4"/>
  <c r="AW1326" i="4"/>
  <c r="AP1326" i="4"/>
  <c r="BI1326" i="4" s="1"/>
  <c r="AG1326" i="4" s="1"/>
  <c r="AO1326" i="4"/>
  <c r="BH1326" i="4" s="1"/>
  <c r="AK1326" i="4"/>
  <c r="AJ1326" i="4"/>
  <c r="AH1326" i="4"/>
  <c r="AF1326" i="4"/>
  <c r="AE1326" i="4"/>
  <c r="AD1326" i="4"/>
  <c r="AC1326" i="4"/>
  <c r="AB1326" i="4"/>
  <c r="Z1326" i="4"/>
  <c r="I1326" i="4"/>
  <c r="AL1326" i="4" s="1"/>
  <c r="BJ1325" i="4"/>
  <c r="BF1325" i="4"/>
  <c r="BD1325" i="4"/>
  <c r="AW1325" i="4"/>
  <c r="AV1325" i="4" s="1"/>
  <c r="AP1325" i="4"/>
  <c r="AX1325" i="4" s="1"/>
  <c r="BC1325" i="4" s="1"/>
  <c r="AO1325" i="4"/>
  <c r="BH1325" i="4" s="1"/>
  <c r="AF1325" i="4" s="1"/>
  <c r="AK1325" i="4"/>
  <c r="AJ1325" i="4"/>
  <c r="AH1325" i="4"/>
  <c r="AE1325" i="4"/>
  <c r="AD1325" i="4"/>
  <c r="AC1325" i="4"/>
  <c r="AB1325" i="4"/>
  <c r="Z1325" i="4"/>
  <c r="I1325" i="4"/>
  <c r="AL1325" i="4" s="1"/>
  <c r="BJ1324" i="4"/>
  <c r="BH1324" i="4"/>
  <c r="AB1324" i="4" s="1"/>
  <c r="BF1324" i="4"/>
  <c r="BD1324" i="4"/>
  <c r="AP1324" i="4"/>
  <c r="BI1324" i="4" s="1"/>
  <c r="AC1324" i="4" s="1"/>
  <c r="AO1324" i="4"/>
  <c r="AW1324" i="4" s="1"/>
  <c r="AL1324" i="4"/>
  <c r="AK1324" i="4"/>
  <c r="AJ1324" i="4"/>
  <c r="AH1324" i="4"/>
  <c r="AG1324" i="4"/>
  <c r="AF1324" i="4"/>
  <c r="AE1324" i="4"/>
  <c r="AD1324" i="4"/>
  <c r="Z1324" i="4"/>
  <c r="I1324" i="4"/>
  <c r="BJ1323" i="4"/>
  <c r="BF1323" i="4"/>
  <c r="BD1323" i="4"/>
  <c r="AP1323" i="4"/>
  <c r="AO1323" i="4"/>
  <c r="BH1323" i="4" s="1"/>
  <c r="AB1323" i="4" s="1"/>
  <c r="AK1323" i="4"/>
  <c r="AJ1323" i="4"/>
  <c r="AH1323" i="4"/>
  <c r="AG1323" i="4"/>
  <c r="AF1323" i="4"/>
  <c r="AE1323" i="4"/>
  <c r="AD1323" i="4"/>
  <c r="Z1323" i="4"/>
  <c r="I1323" i="4"/>
  <c r="AL1323" i="4" s="1"/>
  <c r="BJ1322" i="4"/>
  <c r="BF1322" i="4"/>
  <c r="BD1322" i="4"/>
  <c r="AP1322" i="4"/>
  <c r="AX1322" i="4" s="1"/>
  <c r="AO1322" i="4"/>
  <c r="BH1322" i="4" s="1"/>
  <c r="AB1322" i="4" s="1"/>
  <c r="AL1322" i="4"/>
  <c r="AK1322" i="4"/>
  <c r="AJ1322" i="4"/>
  <c r="AH1322" i="4"/>
  <c r="AG1322" i="4"/>
  <c r="AF1322" i="4"/>
  <c r="AE1322" i="4"/>
  <c r="AD1322" i="4"/>
  <c r="Z1322" i="4"/>
  <c r="I1322" i="4"/>
  <c r="BJ1321" i="4"/>
  <c r="BI1321" i="4"/>
  <c r="AC1321" i="4" s="1"/>
  <c r="BF1321" i="4"/>
  <c r="BD1321" i="4"/>
  <c r="AP1321" i="4"/>
  <c r="AX1321" i="4" s="1"/>
  <c r="AO1321" i="4"/>
  <c r="AW1321" i="4" s="1"/>
  <c r="BC1321" i="4" s="1"/>
  <c r="AK1321" i="4"/>
  <c r="AJ1321" i="4"/>
  <c r="AH1321" i="4"/>
  <c r="AG1321" i="4"/>
  <c r="AF1321" i="4"/>
  <c r="AE1321" i="4"/>
  <c r="AD1321" i="4"/>
  <c r="Z1321" i="4"/>
  <c r="I1321" i="4"/>
  <c r="AL1321" i="4" s="1"/>
  <c r="BJ1320" i="4"/>
  <c r="BH1320" i="4"/>
  <c r="AB1320" i="4" s="1"/>
  <c r="BF1320" i="4"/>
  <c r="BD1320" i="4"/>
  <c r="AP1320" i="4"/>
  <c r="AO1320" i="4"/>
  <c r="AW1320" i="4" s="1"/>
  <c r="AK1320" i="4"/>
  <c r="AJ1320" i="4"/>
  <c r="AH1320" i="4"/>
  <c r="AG1320" i="4"/>
  <c r="AF1320" i="4"/>
  <c r="AE1320" i="4"/>
  <c r="AD1320" i="4"/>
  <c r="Z1320" i="4"/>
  <c r="I1320" i="4"/>
  <c r="AL1320" i="4" s="1"/>
  <c r="BJ1319" i="4"/>
  <c r="BF1319" i="4"/>
  <c r="BD1319" i="4"/>
  <c r="AW1319" i="4"/>
  <c r="BC1319" i="4" s="1"/>
  <c r="AP1319" i="4"/>
  <c r="AX1319" i="4" s="1"/>
  <c r="AO1319" i="4"/>
  <c r="BH1319" i="4" s="1"/>
  <c r="AF1319" i="4" s="1"/>
  <c r="AK1319" i="4"/>
  <c r="AJ1319" i="4"/>
  <c r="AH1319" i="4"/>
  <c r="AE1319" i="4"/>
  <c r="AD1319" i="4"/>
  <c r="AC1319" i="4"/>
  <c r="AB1319" i="4"/>
  <c r="Z1319" i="4"/>
  <c r="I1319" i="4"/>
  <c r="AL1319" i="4" s="1"/>
  <c r="BJ1318" i="4"/>
  <c r="BI1318" i="4"/>
  <c r="AC1318" i="4" s="1"/>
  <c r="BF1318" i="4"/>
  <c r="BD1318" i="4"/>
  <c r="AP1318" i="4"/>
  <c r="AX1318" i="4" s="1"/>
  <c r="AO1318" i="4"/>
  <c r="BH1318" i="4" s="1"/>
  <c r="AB1318" i="4" s="1"/>
  <c r="AK1318" i="4"/>
  <c r="AJ1318" i="4"/>
  <c r="AH1318" i="4"/>
  <c r="AG1318" i="4"/>
  <c r="AF1318" i="4"/>
  <c r="AE1318" i="4"/>
  <c r="AD1318" i="4"/>
  <c r="Z1318" i="4"/>
  <c r="I1318" i="4"/>
  <c r="AL1318" i="4" s="1"/>
  <c r="BJ1317" i="4"/>
  <c r="BH1317" i="4"/>
  <c r="AF1317" i="4" s="1"/>
  <c r="BF1317" i="4"/>
  <c r="BD1317" i="4"/>
  <c r="AP1317" i="4"/>
  <c r="BI1317" i="4" s="1"/>
  <c r="AG1317" i="4" s="1"/>
  <c r="AO1317" i="4"/>
  <c r="AW1317" i="4" s="1"/>
  <c r="AL1317" i="4"/>
  <c r="AK1317" i="4"/>
  <c r="AJ1317" i="4"/>
  <c r="AH1317" i="4"/>
  <c r="AE1317" i="4"/>
  <c r="AD1317" i="4"/>
  <c r="AC1317" i="4"/>
  <c r="AB1317" i="4"/>
  <c r="Z1317" i="4"/>
  <c r="I1317" i="4"/>
  <c r="BJ1316" i="4"/>
  <c r="BI1316" i="4"/>
  <c r="BF1316" i="4"/>
  <c r="BD1316" i="4"/>
  <c r="AP1316" i="4"/>
  <c r="AX1316" i="4" s="1"/>
  <c r="AO1316" i="4"/>
  <c r="BH1316" i="4" s="1"/>
  <c r="AF1316" i="4" s="1"/>
  <c r="AK1316" i="4"/>
  <c r="AJ1316" i="4"/>
  <c r="AH1316" i="4"/>
  <c r="AG1316" i="4"/>
  <c r="AE1316" i="4"/>
  <c r="AD1316" i="4"/>
  <c r="AC1316" i="4"/>
  <c r="AB1316" i="4"/>
  <c r="Z1316" i="4"/>
  <c r="I1316" i="4"/>
  <c r="AL1316" i="4" s="1"/>
  <c r="BJ1315" i="4"/>
  <c r="BI1315" i="4"/>
  <c r="AC1315" i="4" s="1"/>
  <c r="BH1315" i="4"/>
  <c r="AB1315" i="4" s="1"/>
  <c r="BF1315" i="4"/>
  <c r="BD1315" i="4"/>
  <c r="AP1315" i="4"/>
  <c r="AX1315" i="4" s="1"/>
  <c r="AO1315" i="4"/>
  <c r="AW1315" i="4" s="1"/>
  <c r="AL1315" i="4"/>
  <c r="AK1315" i="4"/>
  <c r="AJ1315" i="4"/>
  <c r="AH1315" i="4"/>
  <c r="AG1315" i="4"/>
  <c r="AF1315" i="4"/>
  <c r="AE1315" i="4"/>
  <c r="AD1315" i="4"/>
  <c r="Z1315" i="4"/>
  <c r="I1315" i="4"/>
  <c r="BJ1314" i="4"/>
  <c r="BI1314" i="4"/>
  <c r="BH1314" i="4"/>
  <c r="AF1314" i="4" s="1"/>
  <c r="BF1314" i="4"/>
  <c r="BD1314" i="4"/>
  <c r="BC1314" i="4"/>
  <c r="AP1314" i="4"/>
  <c r="AX1314" i="4" s="1"/>
  <c r="AO1314" i="4"/>
  <c r="AW1314" i="4" s="1"/>
  <c r="AK1314" i="4"/>
  <c r="AJ1314" i="4"/>
  <c r="AH1314" i="4"/>
  <c r="AG1314" i="4"/>
  <c r="AE1314" i="4"/>
  <c r="AD1314" i="4"/>
  <c r="AC1314" i="4"/>
  <c r="AB1314" i="4"/>
  <c r="Z1314" i="4"/>
  <c r="I1314" i="4"/>
  <c r="AL1314" i="4" s="1"/>
  <c r="BJ1313" i="4"/>
  <c r="BI1313" i="4"/>
  <c r="BH1313" i="4"/>
  <c r="BF1313" i="4"/>
  <c r="BD1313" i="4"/>
  <c r="AX1313" i="4"/>
  <c r="AP1313" i="4"/>
  <c r="AO1313" i="4"/>
  <c r="AW1313" i="4" s="1"/>
  <c r="AL1313" i="4"/>
  <c r="AK1313" i="4"/>
  <c r="AJ1313" i="4"/>
  <c r="AH1313" i="4"/>
  <c r="AG1313" i="4"/>
  <c r="AF1313" i="4"/>
  <c r="AE1313" i="4"/>
  <c r="AD1313" i="4"/>
  <c r="AC1313" i="4"/>
  <c r="AB1313" i="4"/>
  <c r="Z1313" i="4"/>
  <c r="I1313" i="4"/>
  <c r="BJ1312" i="4"/>
  <c r="BI1312" i="4"/>
  <c r="BH1312" i="4"/>
  <c r="BF1312" i="4"/>
  <c r="BD1312" i="4"/>
  <c r="AW1312" i="4"/>
  <c r="AP1312" i="4"/>
  <c r="AX1312" i="4" s="1"/>
  <c r="AO1312" i="4"/>
  <c r="AL1312" i="4"/>
  <c r="AK1312" i="4"/>
  <c r="AJ1312" i="4"/>
  <c r="AH1312" i="4"/>
  <c r="AG1312" i="4"/>
  <c r="AF1312" i="4"/>
  <c r="AE1312" i="4"/>
  <c r="AD1312" i="4"/>
  <c r="AC1312" i="4"/>
  <c r="AB1312" i="4"/>
  <c r="Z1312" i="4"/>
  <c r="I1312" i="4"/>
  <c r="BJ1311" i="4"/>
  <c r="BI1311" i="4"/>
  <c r="AC1311" i="4" s="1"/>
  <c r="BH1311" i="4"/>
  <c r="BF1311" i="4"/>
  <c r="BD1311" i="4"/>
  <c r="AX1311" i="4"/>
  <c r="AV1311" i="4"/>
  <c r="AP1311" i="4"/>
  <c r="AO1311" i="4"/>
  <c r="AW1311" i="4" s="1"/>
  <c r="BC1311" i="4" s="1"/>
  <c r="AK1311" i="4"/>
  <c r="AJ1311" i="4"/>
  <c r="AH1311" i="4"/>
  <c r="AG1311" i="4"/>
  <c r="AF1311" i="4"/>
  <c r="AE1311" i="4"/>
  <c r="AD1311" i="4"/>
  <c r="AB1311" i="4"/>
  <c r="Z1311" i="4"/>
  <c r="I1311" i="4"/>
  <c r="AL1311" i="4" s="1"/>
  <c r="BJ1310" i="4"/>
  <c r="BH1310" i="4"/>
  <c r="AB1310" i="4" s="1"/>
  <c r="BF1310" i="4"/>
  <c r="BD1310" i="4"/>
  <c r="AW1310" i="4"/>
  <c r="AP1310" i="4"/>
  <c r="AO1310" i="4"/>
  <c r="AL1310" i="4"/>
  <c r="AK1310" i="4"/>
  <c r="AJ1310" i="4"/>
  <c r="AH1310" i="4"/>
  <c r="AG1310" i="4"/>
  <c r="AF1310" i="4"/>
  <c r="AE1310" i="4"/>
  <c r="AD1310" i="4"/>
  <c r="Z1310" i="4"/>
  <c r="I1310" i="4"/>
  <c r="BJ1309" i="4"/>
  <c r="BF1309" i="4"/>
  <c r="BD1309" i="4"/>
  <c r="AX1309" i="4"/>
  <c r="AP1309" i="4"/>
  <c r="BI1309" i="4" s="1"/>
  <c r="AC1309" i="4" s="1"/>
  <c r="AO1309" i="4"/>
  <c r="AK1309" i="4"/>
  <c r="AJ1309" i="4"/>
  <c r="AH1309" i="4"/>
  <c r="AG1309" i="4"/>
  <c r="AF1309" i="4"/>
  <c r="AE1309" i="4"/>
  <c r="AD1309" i="4"/>
  <c r="Z1309" i="4"/>
  <c r="I1309" i="4"/>
  <c r="AL1309" i="4" s="1"/>
  <c r="BJ1308" i="4"/>
  <c r="BF1308" i="4"/>
  <c r="BD1308" i="4"/>
  <c r="AX1308" i="4"/>
  <c r="AV1308" i="4" s="1"/>
  <c r="AW1308" i="4"/>
  <c r="BC1308" i="4" s="1"/>
  <c r="AP1308" i="4"/>
  <c r="BI1308" i="4" s="1"/>
  <c r="AC1308" i="4" s="1"/>
  <c r="AO1308" i="4"/>
  <c r="BH1308" i="4" s="1"/>
  <c r="AB1308" i="4" s="1"/>
  <c r="AL1308" i="4"/>
  <c r="AK1308" i="4"/>
  <c r="AJ1308" i="4"/>
  <c r="AH1308" i="4"/>
  <c r="AG1308" i="4"/>
  <c r="AF1308" i="4"/>
  <c r="AE1308" i="4"/>
  <c r="AD1308" i="4"/>
  <c r="Z1308" i="4"/>
  <c r="I1308" i="4"/>
  <c r="BJ1307" i="4"/>
  <c r="BF1307" i="4"/>
  <c r="BD1307" i="4"/>
  <c r="AW1307" i="4"/>
  <c r="AP1307" i="4"/>
  <c r="BI1307" i="4" s="1"/>
  <c r="AG1307" i="4" s="1"/>
  <c r="AO1307" i="4"/>
  <c r="BH1307" i="4" s="1"/>
  <c r="AF1307" i="4" s="1"/>
  <c r="AK1307" i="4"/>
  <c r="AJ1307" i="4"/>
  <c r="AH1307" i="4"/>
  <c r="AE1307" i="4"/>
  <c r="AD1307" i="4"/>
  <c r="AC1307" i="4"/>
  <c r="AB1307" i="4"/>
  <c r="Z1307" i="4"/>
  <c r="I1307" i="4"/>
  <c r="AL1307" i="4" s="1"/>
  <c r="BJ1306" i="4"/>
  <c r="BI1306" i="4"/>
  <c r="AC1306" i="4" s="1"/>
  <c r="BF1306" i="4"/>
  <c r="BD1306" i="4"/>
  <c r="AP1306" i="4"/>
  <c r="AX1306" i="4" s="1"/>
  <c r="AO1306" i="4"/>
  <c r="BH1306" i="4" s="1"/>
  <c r="AB1306" i="4" s="1"/>
  <c r="AK1306" i="4"/>
  <c r="AJ1306" i="4"/>
  <c r="AS1302" i="4" s="1"/>
  <c r="AH1306" i="4"/>
  <c r="AG1306" i="4"/>
  <c r="AF1306" i="4"/>
  <c r="AE1306" i="4"/>
  <c r="AD1306" i="4"/>
  <c r="Z1306" i="4"/>
  <c r="I1306" i="4"/>
  <c r="AL1306" i="4" s="1"/>
  <c r="BJ1305" i="4"/>
  <c r="BH1305" i="4"/>
  <c r="AF1305" i="4" s="1"/>
  <c r="BF1305" i="4"/>
  <c r="BD1305" i="4"/>
  <c r="AP1305" i="4"/>
  <c r="BI1305" i="4" s="1"/>
  <c r="AG1305" i="4" s="1"/>
  <c r="AO1305" i="4"/>
  <c r="AW1305" i="4" s="1"/>
  <c r="AL1305" i="4"/>
  <c r="AK1305" i="4"/>
  <c r="AJ1305" i="4"/>
  <c r="AH1305" i="4"/>
  <c r="AE1305" i="4"/>
  <c r="AD1305" i="4"/>
  <c r="AC1305" i="4"/>
  <c r="AB1305" i="4"/>
  <c r="Z1305" i="4"/>
  <c r="I1305" i="4"/>
  <c r="BJ1304" i="4"/>
  <c r="BI1304" i="4"/>
  <c r="AC1304" i="4" s="1"/>
  <c r="BF1304" i="4"/>
  <c r="BD1304" i="4"/>
  <c r="AP1304" i="4"/>
  <c r="AX1304" i="4" s="1"/>
  <c r="AO1304" i="4"/>
  <c r="BH1304" i="4" s="1"/>
  <c r="AB1304" i="4" s="1"/>
  <c r="AK1304" i="4"/>
  <c r="AT1302" i="4" s="1"/>
  <c r="AJ1304" i="4"/>
  <c r="AH1304" i="4"/>
  <c r="AG1304" i="4"/>
  <c r="AF1304" i="4"/>
  <c r="AE1304" i="4"/>
  <c r="AD1304" i="4"/>
  <c r="Z1304" i="4"/>
  <c r="I1304" i="4"/>
  <c r="AL1304" i="4" s="1"/>
  <c r="BJ1303" i="4"/>
  <c r="BI1303" i="4"/>
  <c r="AC1303" i="4" s="1"/>
  <c r="BH1303" i="4"/>
  <c r="AB1303" i="4" s="1"/>
  <c r="BF1303" i="4"/>
  <c r="BD1303" i="4"/>
  <c r="AP1303" i="4"/>
  <c r="AX1303" i="4" s="1"/>
  <c r="AO1303" i="4"/>
  <c r="AW1303" i="4" s="1"/>
  <c r="AL1303" i="4"/>
  <c r="AK1303" i="4"/>
  <c r="AJ1303" i="4"/>
  <c r="AH1303" i="4"/>
  <c r="AG1303" i="4"/>
  <c r="AF1303" i="4"/>
  <c r="AE1303" i="4"/>
  <c r="AD1303" i="4"/>
  <c r="Z1303" i="4"/>
  <c r="I1303" i="4"/>
  <c r="BJ1300" i="4"/>
  <c r="BI1300" i="4"/>
  <c r="AG1300" i="4" s="1"/>
  <c r="BF1300" i="4"/>
  <c r="BD1300" i="4"/>
  <c r="AP1300" i="4"/>
  <c r="AX1300" i="4" s="1"/>
  <c r="AO1300" i="4"/>
  <c r="BH1300" i="4" s="1"/>
  <c r="AF1300" i="4" s="1"/>
  <c r="AK1300" i="4"/>
  <c r="AJ1300" i="4"/>
  <c r="AH1300" i="4"/>
  <c r="AE1300" i="4"/>
  <c r="AD1300" i="4"/>
  <c r="AC1300" i="4"/>
  <c r="AB1300" i="4"/>
  <c r="Z1300" i="4"/>
  <c r="I1300" i="4"/>
  <c r="AL1300" i="4" s="1"/>
  <c r="BJ1298" i="4"/>
  <c r="BH1298" i="4"/>
  <c r="AF1298" i="4" s="1"/>
  <c r="BF1298" i="4"/>
  <c r="BD1298" i="4"/>
  <c r="AP1298" i="4"/>
  <c r="BI1298" i="4" s="1"/>
  <c r="AG1298" i="4" s="1"/>
  <c r="AO1298" i="4"/>
  <c r="AW1298" i="4" s="1"/>
  <c r="AL1298" i="4"/>
  <c r="AK1298" i="4"/>
  <c r="AJ1298" i="4"/>
  <c r="AH1298" i="4"/>
  <c r="AE1298" i="4"/>
  <c r="AD1298" i="4"/>
  <c r="AC1298" i="4"/>
  <c r="AB1298" i="4"/>
  <c r="Z1298" i="4"/>
  <c r="I1298" i="4"/>
  <c r="BJ1296" i="4"/>
  <c r="BI1296" i="4"/>
  <c r="BF1296" i="4"/>
  <c r="BD1296" i="4"/>
  <c r="AP1296" i="4"/>
  <c r="AX1296" i="4" s="1"/>
  <c r="AO1296" i="4"/>
  <c r="BH1296" i="4" s="1"/>
  <c r="AF1296" i="4" s="1"/>
  <c r="AK1296" i="4"/>
  <c r="AJ1296" i="4"/>
  <c r="AH1296" i="4"/>
  <c r="AG1296" i="4"/>
  <c r="AE1296" i="4"/>
  <c r="AD1296" i="4"/>
  <c r="AC1296" i="4"/>
  <c r="AB1296" i="4"/>
  <c r="Z1296" i="4"/>
  <c r="I1296" i="4"/>
  <c r="AL1296" i="4" s="1"/>
  <c r="BJ1294" i="4"/>
  <c r="BI1294" i="4"/>
  <c r="AG1294" i="4" s="1"/>
  <c r="BH1294" i="4"/>
  <c r="BF1294" i="4"/>
  <c r="BD1294" i="4"/>
  <c r="AP1294" i="4"/>
  <c r="AX1294" i="4" s="1"/>
  <c r="AO1294" i="4"/>
  <c r="AW1294" i="4" s="1"/>
  <c r="AL1294" i="4"/>
  <c r="AK1294" i="4"/>
  <c r="AJ1294" i="4"/>
  <c r="AH1294" i="4"/>
  <c r="AF1294" i="4"/>
  <c r="AE1294" i="4"/>
  <c r="AD1294" i="4"/>
  <c r="AC1294" i="4"/>
  <c r="AB1294" i="4"/>
  <c r="Z1294" i="4"/>
  <c r="I1294" i="4"/>
  <c r="BJ1292" i="4"/>
  <c r="BI1292" i="4"/>
  <c r="BH1292" i="4"/>
  <c r="AF1292" i="4" s="1"/>
  <c r="BF1292" i="4"/>
  <c r="BD1292" i="4"/>
  <c r="BC1292" i="4"/>
  <c r="AP1292" i="4"/>
  <c r="AX1292" i="4" s="1"/>
  <c r="AO1292" i="4"/>
  <c r="AW1292" i="4" s="1"/>
  <c r="AV1292" i="4" s="1"/>
  <c r="AK1292" i="4"/>
  <c r="AJ1292" i="4"/>
  <c r="AH1292" i="4"/>
  <c r="AG1292" i="4"/>
  <c r="AE1292" i="4"/>
  <c r="AD1292" i="4"/>
  <c r="AC1292" i="4"/>
  <c r="AB1292" i="4"/>
  <c r="Z1292" i="4"/>
  <c r="I1292" i="4"/>
  <c r="AL1292" i="4" s="1"/>
  <c r="BJ1289" i="4"/>
  <c r="BI1289" i="4"/>
  <c r="AG1289" i="4" s="1"/>
  <c r="BH1289" i="4"/>
  <c r="BF1289" i="4"/>
  <c r="BD1289" i="4"/>
  <c r="AX1289" i="4"/>
  <c r="AP1289" i="4"/>
  <c r="AO1289" i="4"/>
  <c r="AW1289" i="4" s="1"/>
  <c r="AL1289" i="4"/>
  <c r="AK1289" i="4"/>
  <c r="AJ1289" i="4"/>
  <c r="AH1289" i="4"/>
  <c r="AF1289" i="4"/>
  <c r="AE1289" i="4"/>
  <c r="AD1289" i="4"/>
  <c r="AC1289" i="4"/>
  <c r="AB1289" i="4"/>
  <c r="Z1289" i="4"/>
  <c r="I1289" i="4"/>
  <c r="BJ1287" i="4"/>
  <c r="BI1287" i="4"/>
  <c r="BH1287" i="4"/>
  <c r="AF1287" i="4" s="1"/>
  <c r="BF1287" i="4"/>
  <c r="BD1287" i="4"/>
  <c r="AW1287" i="4"/>
  <c r="AP1287" i="4"/>
  <c r="AX1287" i="4" s="1"/>
  <c r="AO1287" i="4"/>
  <c r="AL1287" i="4"/>
  <c r="AK1287" i="4"/>
  <c r="AJ1287" i="4"/>
  <c r="AH1287" i="4"/>
  <c r="AG1287" i="4"/>
  <c r="AE1287" i="4"/>
  <c r="AD1287" i="4"/>
  <c r="AC1287" i="4"/>
  <c r="AB1287" i="4"/>
  <c r="Z1287" i="4"/>
  <c r="I1287" i="4"/>
  <c r="BJ1285" i="4"/>
  <c r="BI1285" i="4"/>
  <c r="BH1285" i="4"/>
  <c r="BF1285" i="4"/>
  <c r="BD1285" i="4"/>
  <c r="AX1285" i="4"/>
  <c r="AP1285" i="4"/>
  <c r="AO1285" i="4"/>
  <c r="AW1285" i="4" s="1"/>
  <c r="BC1285" i="4" s="1"/>
  <c r="AK1285" i="4"/>
  <c r="AJ1285" i="4"/>
  <c r="AH1285" i="4"/>
  <c r="AG1285" i="4"/>
  <c r="AF1285" i="4"/>
  <c r="AE1285" i="4"/>
  <c r="AD1285" i="4"/>
  <c r="AC1285" i="4"/>
  <c r="AB1285" i="4"/>
  <c r="Z1285" i="4"/>
  <c r="I1285" i="4"/>
  <c r="AL1285" i="4" s="1"/>
  <c r="BJ1283" i="4"/>
  <c r="BH1283" i="4"/>
  <c r="BF1283" i="4"/>
  <c r="BD1283" i="4"/>
  <c r="AW1283" i="4"/>
  <c r="AP1283" i="4"/>
  <c r="AO1283" i="4"/>
  <c r="AL1283" i="4"/>
  <c r="AK1283" i="4"/>
  <c r="AJ1283" i="4"/>
  <c r="AH1283" i="4"/>
  <c r="AF1283" i="4"/>
  <c r="AE1283" i="4"/>
  <c r="AD1283" i="4"/>
  <c r="AC1283" i="4"/>
  <c r="AB1283" i="4"/>
  <c r="Z1283" i="4"/>
  <c r="I1283" i="4"/>
  <c r="BJ1281" i="4"/>
  <c r="BI1281" i="4"/>
  <c r="BF1281" i="4"/>
  <c r="BD1281" i="4"/>
  <c r="AX1281" i="4"/>
  <c r="AP1281" i="4"/>
  <c r="AO1281" i="4"/>
  <c r="AK1281" i="4"/>
  <c r="AJ1281" i="4"/>
  <c r="AH1281" i="4"/>
  <c r="AG1281" i="4"/>
  <c r="AE1281" i="4"/>
  <c r="AD1281" i="4"/>
  <c r="AC1281" i="4"/>
  <c r="AB1281" i="4"/>
  <c r="Z1281" i="4"/>
  <c r="I1281" i="4"/>
  <c r="AL1281" i="4" s="1"/>
  <c r="BJ1279" i="4"/>
  <c r="BF1279" i="4"/>
  <c r="BD1279" i="4"/>
  <c r="AX1279" i="4"/>
  <c r="AV1279" i="4" s="1"/>
  <c r="AW1279" i="4"/>
  <c r="BC1279" i="4" s="1"/>
  <c r="AP1279" i="4"/>
  <c r="BI1279" i="4" s="1"/>
  <c r="AG1279" i="4" s="1"/>
  <c r="AO1279" i="4"/>
  <c r="BH1279" i="4" s="1"/>
  <c r="AF1279" i="4" s="1"/>
  <c r="AL1279" i="4"/>
  <c r="AK1279" i="4"/>
  <c r="AJ1279" i="4"/>
  <c r="AH1279" i="4"/>
  <c r="AE1279" i="4"/>
  <c r="AD1279" i="4"/>
  <c r="AC1279" i="4"/>
  <c r="AB1279" i="4"/>
  <c r="Z1279" i="4"/>
  <c r="I1279" i="4"/>
  <c r="BJ1277" i="4"/>
  <c r="BF1277" i="4"/>
  <c r="BD1277" i="4"/>
  <c r="AW1277" i="4"/>
  <c r="AP1277" i="4"/>
  <c r="BI1277" i="4" s="1"/>
  <c r="AG1277" i="4" s="1"/>
  <c r="AO1277" i="4"/>
  <c r="BH1277" i="4" s="1"/>
  <c r="AF1277" i="4" s="1"/>
  <c r="AK1277" i="4"/>
  <c r="AJ1277" i="4"/>
  <c r="AH1277" i="4"/>
  <c r="AE1277" i="4"/>
  <c r="AD1277" i="4"/>
  <c r="AC1277" i="4"/>
  <c r="AB1277" i="4"/>
  <c r="Z1277" i="4"/>
  <c r="I1277" i="4"/>
  <c r="AL1277" i="4" s="1"/>
  <c r="BJ1274" i="4"/>
  <c r="BI1274" i="4"/>
  <c r="AG1274" i="4" s="1"/>
  <c r="BF1274" i="4"/>
  <c r="BD1274" i="4"/>
  <c r="AP1274" i="4"/>
  <c r="AX1274" i="4" s="1"/>
  <c r="AO1274" i="4"/>
  <c r="BH1274" i="4" s="1"/>
  <c r="AF1274" i="4" s="1"/>
  <c r="AK1274" i="4"/>
  <c r="AJ1274" i="4"/>
  <c r="AH1274" i="4"/>
  <c r="AE1274" i="4"/>
  <c r="AD1274" i="4"/>
  <c r="AC1274" i="4"/>
  <c r="AB1274" i="4"/>
  <c r="Z1274" i="4"/>
  <c r="I1274" i="4"/>
  <c r="AL1274" i="4" s="1"/>
  <c r="BJ1272" i="4"/>
  <c r="BH1272" i="4"/>
  <c r="AF1272" i="4" s="1"/>
  <c r="BF1272" i="4"/>
  <c r="BD1272" i="4"/>
  <c r="AP1272" i="4"/>
  <c r="BI1272" i="4" s="1"/>
  <c r="AG1272" i="4" s="1"/>
  <c r="AO1272" i="4"/>
  <c r="AW1272" i="4" s="1"/>
  <c r="AL1272" i="4"/>
  <c r="AK1272" i="4"/>
  <c r="AJ1272" i="4"/>
  <c r="AH1272" i="4"/>
  <c r="AE1272" i="4"/>
  <c r="AD1272" i="4"/>
  <c r="AC1272" i="4"/>
  <c r="AB1272" i="4"/>
  <c r="Z1272" i="4"/>
  <c r="I1272" i="4"/>
  <c r="BJ1270" i="4"/>
  <c r="BI1270" i="4"/>
  <c r="BF1270" i="4"/>
  <c r="BD1270" i="4"/>
  <c r="AP1270" i="4"/>
  <c r="AX1270" i="4" s="1"/>
  <c r="AO1270" i="4"/>
  <c r="BH1270" i="4" s="1"/>
  <c r="AF1270" i="4" s="1"/>
  <c r="AK1270" i="4"/>
  <c r="AJ1270" i="4"/>
  <c r="AH1270" i="4"/>
  <c r="AG1270" i="4"/>
  <c r="AE1270" i="4"/>
  <c r="AD1270" i="4"/>
  <c r="AC1270" i="4"/>
  <c r="AB1270" i="4"/>
  <c r="Z1270" i="4"/>
  <c r="I1270" i="4"/>
  <c r="AL1270" i="4" s="1"/>
  <c r="BJ1268" i="4"/>
  <c r="BI1268" i="4"/>
  <c r="AG1268" i="4" s="1"/>
  <c r="BH1268" i="4"/>
  <c r="BF1268" i="4"/>
  <c r="BD1268" i="4"/>
  <c r="AP1268" i="4"/>
  <c r="AX1268" i="4" s="1"/>
  <c r="AO1268" i="4"/>
  <c r="AW1268" i="4" s="1"/>
  <c r="AL1268" i="4"/>
  <c r="AK1268" i="4"/>
  <c r="AJ1268" i="4"/>
  <c r="AH1268" i="4"/>
  <c r="AF1268" i="4"/>
  <c r="AE1268" i="4"/>
  <c r="AD1268" i="4"/>
  <c r="AC1268" i="4"/>
  <c r="AB1268" i="4"/>
  <c r="Z1268" i="4"/>
  <c r="I1268" i="4"/>
  <c r="BJ1266" i="4"/>
  <c r="BI1266" i="4"/>
  <c r="BH1266" i="4"/>
  <c r="AF1266" i="4" s="1"/>
  <c r="BF1266" i="4"/>
  <c r="BD1266" i="4"/>
  <c r="AP1266" i="4"/>
  <c r="AX1266" i="4" s="1"/>
  <c r="AO1266" i="4"/>
  <c r="AW1266" i="4" s="1"/>
  <c r="AK1266" i="4"/>
  <c r="AJ1266" i="4"/>
  <c r="AH1266" i="4"/>
  <c r="AG1266" i="4"/>
  <c r="AE1266" i="4"/>
  <c r="AD1266" i="4"/>
  <c r="AC1266" i="4"/>
  <c r="AB1266" i="4"/>
  <c r="Z1266" i="4"/>
  <c r="I1266" i="4"/>
  <c r="AL1266" i="4" s="1"/>
  <c r="BJ1264" i="4"/>
  <c r="BI1264" i="4"/>
  <c r="AG1264" i="4" s="1"/>
  <c r="BH1264" i="4"/>
  <c r="BF1264" i="4"/>
  <c r="BD1264" i="4"/>
  <c r="AX1264" i="4"/>
  <c r="AP1264" i="4"/>
  <c r="AO1264" i="4"/>
  <c r="AW1264" i="4" s="1"/>
  <c r="AL1264" i="4"/>
  <c r="AK1264" i="4"/>
  <c r="AJ1264" i="4"/>
  <c r="AH1264" i="4"/>
  <c r="AF1264" i="4"/>
  <c r="AE1264" i="4"/>
  <c r="AD1264" i="4"/>
  <c r="AC1264" i="4"/>
  <c r="AB1264" i="4"/>
  <c r="Z1264" i="4"/>
  <c r="I1264" i="4"/>
  <c r="BJ1262" i="4"/>
  <c r="BI1262" i="4"/>
  <c r="BH1262" i="4"/>
  <c r="AF1262" i="4" s="1"/>
  <c r="BF1262" i="4"/>
  <c r="BD1262" i="4"/>
  <c r="AW1262" i="4"/>
  <c r="AP1262" i="4"/>
  <c r="AX1262" i="4" s="1"/>
  <c r="AO1262" i="4"/>
  <c r="AL1262" i="4"/>
  <c r="AK1262" i="4"/>
  <c r="AJ1262" i="4"/>
  <c r="AH1262" i="4"/>
  <c r="AG1262" i="4"/>
  <c r="AE1262" i="4"/>
  <c r="AD1262" i="4"/>
  <c r="AC1262" i="4"/>
  <c r="AB1262" i="4"/>
  <c r="Z1262" i="4"/>
  <c r="I1262" i="4"/>
  <c r="BJ1260" i="4"/>
  <c r="BI1260" i="4"/>
  <c r="BH1260" i="4"/>
  <c r="BF1260" i="4"/>
  <c r="BD1260" i="4"/>
  <c r="AX1260" i="4"/>
  <c r="AP1260" i="4"/>
  <c r="AO1260" i="4"/>
  <c r="AW1260" i="4" s="1"/>
  <c r="BC1260" i="4" s="1"/>
  <c r="AK1260" i="4"/>
  <c r="AJ1260" i="4"/>
  <c r="AH1260" i="4"/>
  <c r="AG1260" i="4"/>
  <c r="AF1260" i="4"/>
  <c r="AE1260" i="4"/>
  <c r="AD1260" i="4"/>
  <c r="AC1260" i="4"/>
  <c r="AB1260" i="4"/>
  <c r="Z1260" i="4"/>
  <c r="I1260" i="4"/>
  <c r="AL1260" i="4" s="1"/>
  <c r="BJ1258" i="4"/>
  <c r="BH1258" i="4"/>
  <c r="BF1258" i="4"/>
  <c r="BD1258" i="4"/>
  <c r="AW1258" i="4"/>
  <c r="AP1258" i="4"/>
  <c r="AO1258" i="4"/>
  <c r="AL1258" i="4"/>
  <c r="AK1258" i="4"/>
  <c r="AJ1258" i="4"/>
  <c r="AH1258" i="4"/>
  <c r="AF1258" i="4"/>
  <c r="AE1258" i="4"/>
  <c r="AD1258" i="4"/>
  <c r="AC1258" i="4"/>
  <c r="AB1258" i="4"/>
  <c r="Z1258" i="4"/>
  <c r="I1258" i="4"/>
  <c r="BJ1256" i="4"/>
  <c r="BI1256" i="4"/>
  <c r="BF1256" i="4"/>
  <c r="BD1256" i="4"/>
  <c r="AX1256" i="4"/>
  <c r="AP1256" i="4"/>
  <c r="AO1256" i="4"/>
  <c r="AK1256" i="4"/>
  <c r="AJ1256" i="4"/>
  <c r="AH1256" i="4"/>
  <c r="AG1256" i="4"/>
  <c r="AE1256" i="4"/>
  <c r="AD1256" i="4"/>
  <c r="AC1256" i="4"/>
  <c r="AB1256" i="4"/>
  <c r="Z1256" i="4"/>
  <c r="I1256" i="4"/>
  <c r="AL1256" i="4" s="1"/>
  <c r="BJ1254" i="4"/>
  <c r="BH1254" i="4"/>
  <c r="BF1254" i="4"/>
  <c r="BD1254" i="4"/>
  <c r="AX1254" i="4"/>
  <c r="AV1254" i="4" s="1"/>
  <c r="AW1254" i="4"/>
  <c r="BC1254" i="4" s="1"/>
  <c r="AP1254" i="4"/>
  <c r="BI1254" i="4" s="1"/>
  <c r="AG1254" i="4" s="1"/>
  <c r="AO1254" i="4"/>
  <c r="AL1254" i="4"/>
  <c r="AK1254" i="4"/>
  <c r="AJ1254" i="4"/>
  <c r="AH1254" i="4"/>
  <c r="AF1254" i="4"/>
  <c r="AE1254" i="4"/>
  <c r="AD1254" i="4"/>
  <c r="AC1254" i="4"/>
  <c r="AB1254" i="4"/>
  <c r="Z1254" i="4"/>
  <c r="I1254" i="4"/>
  <c r="BJ1252" i="4"/>
  <c r="BF1252" i="4"/>
  <c r="BD1252" i="4"/>
  <c r="AW1252" i="4"/>
  <c r="AP1252" i="4"/>
  <c r="BI1252" i="4" s="1"/>
  <c r="AG1252" i="4" s="1"/>
  <c r="AO1252" i="4"/>
  <c r="BH1252" i="4" s="1"/>
  <c r="AF1252" i="4" s="1"/>
  <c r="AK1252" i="4"/>
  <c r="AJ1252" i="4"/>
  <c r="AH1252" i="4"/>
  <c r="AE1252" i="4"/>
  <c r="AD1252" i="4"/>
  <c r="AC1252" i="4"/>
  <c r="AB1252" i="4"/>
  <c r="Z1252" i="4"/>
  <c r="I1252" i="4"/>
  <c r="AL1252" i="4" s="1"/>
  <c r="BJ1250" i="4"/>
  <c r="BI1250" i="4"/>
  <c r="AG1250" i="4" s="1"/>
  <c r="BF1250" i="4"/>
  <c r="BD1250" i="4"/>
  <c r="AP1250" i="4"/>
  <c r="AX1250" i="4" s="1"/>
  <c r="AO1250" i="4"/>
  <c r="BH1250" i="4" s="1"/>
  <c r="AF1250" i="4" s="1"/>
  <c r="AK1250" i="4"/>
  <c r="AJ1250" i="4"/>
  <c r="AH1250" i="4"/>
  <c r="AE1250" i="4"/>
  <c r="AD1250" i="4"/>
  <c r="AC1250" i="4"/>
  <c r="AB1250" i="4"/>
  <c r="Z1250" i="4"/>
  <c r="I1250" i="4"/>
  <c r="AL1250" i="4" s="1"/>
  <c r="BJ1248" i="4"/>
  <c r="BH1248" i="4"/>
  <c r="AF1248" i="4" s="1"/>
  <c r="BF1248" i="4"/>
  <c r="BD1248" i="4"/>
  <c r="AP1248" i="4"/>
  <c r="AO1248" i="4"/>
  <c r="AW1248" i="4" s="1"/>
  <c r="AL1248" i="4"/>
  <c r="AK1248" i="4"/>
  <c r="AJ1248" i="4"/>
  <c r="AH1248" i="4"/>
  <c r="AE1248" i="4"/>
  <c r="AD1248" i="4"/>
  <c r="AC1248" i="4"/>
  <c r="AB1248" i="4"/>
  <c r="Z1248" i="4"/>
  <c r="I1248" i="4"/>
  <c r="BJ1246" i="4"/>
  <c r="BI1246" i="4"/>
  <c r="BF1246" i="4"/>
  <c r="BD1246" i="4"/>
  <c r="AP1246" i="4"/>
  <c r="AX1246" i="4" s="1"/>
  <c r="AO1246" i="4"/>
  <c r="AK1246" i="4"/>
  <c r="AJ1246" i="4"/>
  <c r="AH1246" i="4"/>
  <c r="AG1246" i="4"/>
  <c r="AE1246" i="4"/>
  <c r="AD1246" i="4"/>
  <c r="AC1246" i="4"/>
  <c r="AB1246" i="4"/>
  <c r="Z1246" i="4"/>
  <c r="I1246" i="4"/>
  <c r="AL1246" i="4" s="1"/>
  <c r="BJ1244" i="4"/>
  <c r="BI1244" i="4"/>
  <c r="AG1244" i="4" s="1"/>
  <c r="BH1244" i="4"/>
  <c r="BF1244" i="4"/>
  <c r="BD1244" i="4"/>
  <c r="AP1244" i="4"/>
  <c r="AX1244" i="4" s="1"/>
  <c r="AO1244" i="4"/>
  <c r="AW1244" i="4" s="1"/>
  <c r="AL1244" i="4"/>
  <c r="AK1244" i="4"/>
  <c r="AJ1244" i="4"/>
  <c r="AH1244" i="4"/>
  <c r="AF1244" i="4"/>
  <c r="AE1244" i="4"/>
  <c r="AD1244" i="4"/>
  <c r="AC1244" i="4"/>
  <c r="AB1244" i="4"/>
  <c r="Z1244" i="4"/>
  <c r="I1244" i="4"/>
  <c r="BJ1242" i="4"/>
  <c r="BI1242" i="4"/>
  <c r="BH1242" i="4"/>
  <c r="AF1242" i="4" s="1"/>
  <c r="BF1242" i="4"/>
  <c r="BD1242" i="4"/>
  <c r="AP1242" i="4"/>
  <c r="AX1242" i="4" s="1"/>
  <c r="AO1242" i="4"/>
  <c r="AW1242" i="4" s="1"/>
  <c r="AK1242" i="4"/>
  <c r="AJ1242" i="4"/>
  <c r="AH1242" i="4"/>
  <c r="AG1242" i="4"/>
  <c r="AE1242" i="4"/>
  <c r="AD1242" i="4"/>
  <c r="AC1242" i="4"/>
  <c r="AB1242" i="4"/>
  <c r="Z1242" i="4"/>
  <c r="I1242" i="4"/>
  <c r="AL1242" i="4" s="1"/>
  <c r="BJ1239" i="4"/>
  <c r="BI1239" i="4"/>
  <c r="AG1239" i="4" s="1"/>
  <c r="BH1239" i="4"/>
  <c r="BF1239" i="4"/>
  <c r="BD1239" i="4"/>
  <c r="AX1239" i="4"/>
  <c r="AP1239" i="4"/>
  <c r="AO1239" i="4"/>
  <c r="AW1239" i="4" s="1"/>
  <c r="AL1239" i="4"/>
  <c r="AK1239" i="4"/>
  <c r="AJ1239" i="4"/>
  <c r="AH1239" i="4"/>
  <c r="AF1239" i="4"/>
  <c r="AE1239" i="4"/>
  <c r="AD1239" i="4"/>
  <c r="AC1239" i="4"/>
  <c r="AB1239" i="4"/>
  <c r="Z1239" i="4"/>
  <c r="I1239" i="4"/>
  <c r="BJ1236" i="4"/>
  <c r="BI1236" i="4"/>
  <c r="BH1236" i="4"/>
  <c r="AF1236" i="4" s="1"/>
  <c r="BF1236" i="4"/>
  <c r="BD1236" i="4"/>
  <c r="AW1236" i="4"/>
  <c r="AP1236" i="4"/>
  <c r="AX1236" i="4" s="1"/>
  <c r="AO1236" i="4"/>
  <c r="AL1236" i="4"/>
  <c r="AK1236" i="4"/>
  <c r="AJ1236" i="4"/>
  <c r="AH1236" i="4"/>
  <c r="AG1236" i="4"/>
  <c r="AE1236" i="4"/>
  <c r="AD1236" i="4"/>
  <c r="AC1236" i="4"/>
  <c r="AB1236" i="4"/>
  <c r="Z1236" i="4"/>
  <c r="I1236" i="4"/>
  <c r="BJ1234" i="4"/>
  <c r="BI1234" i="4"/>
  <c r="AC1234" i="4" s="1"/>
  <c r="BH1234" i="4"/>
  <c r="BF1234" i="4"/>
  <c r="BD1234" i="4"/>
  <c r="AX1234" i="4"/>
  <c r="AV1234" i="4"/>
  <c r="AP1234" i="4"/>
  <c r="AO1234" i="4"/>
  <c r="AW1234" i="4" s="1"/>
  <c r="BC1234" i="4" s="1"/>
  <c r="AK1234" i="4"/>
  <c r="AJ1234" i="4"/>
  <c r="AH1234" i="4"/>
  <c r="AG1234" i="4"/>
  <c r="AF1234" i="4"/>
  <c r="AE1234" i="4"/>
  <c r="AD1234" i="4"/>
  <c r="AB1234" i="4"/>
  <c r="Z1234" i="4"/>
  <c r="I1234" i="4"/>
  <c r="AL1234" i="4" s="1"/>
  <c r="BJ1232" i="4"/>
  <c r="BH1232" i="4"/>
  <c r="AB1232" i="4" s="1"/>
  <c r="BF1232" i="4"/>
  <c r="BD1232" i="4"/>
  <c r="AW1232" i="4"/>
  <c r="AP1232" i="4"/>
  <c r="AO1232" i="4"/>
  <c r="AL1232" i="4"/>
  <c r="AK1232" i="4"/>
  <c r="AJ1232" i="4"/>
  <c r="AH1232" i="4"/>
  <c r="AG1232" i="4"/>
  <c r="AF1232" i="4"/>
  <c r="AE1232" i="4"/>
  <c r="AD1232" i="4"/>
  <c r="Z1232" i="4"/>
  <c r="I1232" i="4"/>
  <c r="BJ1230" i="4"/>
  <c r="BI1230" i="4"/>
  <c r="BF1230" i="4"/>
  <c r="BD1230" i="4"/>
  <c r="AX1230" i="4"/>
  <c r="AP1230" i="4"/>
  <c r="AO1230" i="4"/>
  <c r="AK1230" i="4"/>
  <c r="AJ1230" i="4"/>
  <c r="AH1230" i="4"/>
  <c r="AG1230" i="4"/>
  <c r="AF1230" i="4"/>
  <c r="AE1230" i="4"/>
  <c r="AD1230" i="4"/>
  <c r="AC1230" i="4"/>
  <c r="Z1230" i="4"/>
  <c r="I1230" i="4"/>
  <c r="AL1230" i="4" s="1"/>
  <c r="BJ1228" i="4"/>
  <c r="BH1228" i="4"/>
  <c r="BF1228" i="4"/>
  <c r="BD1228" i="4"/>
  <c r="AX1228" i="4"/>
  <c r="AV1228" i="4" s="1"/>
  <c r="AW1228" i="4"/>
  <c r="AP1228" i="4"/>
  <c r="BI1228" i="4" s="1"/>
  <c r="AC1228" i="4" s="1"/>
  <c r="AO1228" i="4"/>
  <c r="AL1228" i="4"/>
  <c r="AK1228" i="4"/>
  <c r="AJ1228" i="4"/>
  <c r="AH1228" i="4"/>
  <c r="AG1228" i="4"/>
  <c r="AF1228" i="4"/>
  <c r="AE1228" i="4"/>
  <c r="AD1228" i="4"/>
  <c r="AB1228" i="4"/>
  <c r="Z1228" i="4"/>
  <c r="I1228" i="4"/>
  <c r="BJ1226" i="4"/>
  <c r="BF1226" i="4"/>
  <c r="BD1226" i="4"/>
  <c r="AW1226" i="4"/>
  <c r="AP1226" i="4"/>
  <c r="AO1226" i="4"/>
  <c r="BH1226" i="4" s="1"/>
  <c r="AB1226" i="4" s="1"/>
  <c r="AK1226" i="4"/>
  <c r="AJ1226" i="4"/>
  <c r="AH1226" i="4"/>
  <c r="AG1226" i="4"/>
  <c r="AF1226" i="4"/>
  <c r="AE1226" i="4"/>
  <c r="AD1226" i="4"/>
  <c r="Z1226" i="4"/>
  <c r="I1226" i="4"/>
  <c r="AL1226" i="4" s="1"/>
  <c r="BJ1224" i="4"/>
  <c r="BI1224" i="4"/>
  <c r="AC1224" i="4" s="1"/>
  <c r="BF1224" i="4"/>
  <c r="BD1224" i="4"/>
  <c r="AP1224" i="4"/>
  <c r="AX1224" i="4" s="1"/>
  <c r="AO1224" i="4"/>
  <c r="AK1224" i="4"/>
  <c r="AJ1224" i="4"/>
  <c r="AH1224" i="4"/>
  <c r="AG1224" i="4"/>
  <c r="AF1224" i="4"/>
  <c r="AE1224" i="4"/>
  <c r="AD1224" i="4"/>
  <c r="Z1224" i="4"/>
  <c r="I1224" i="4"/>
  <c r="AL1224" i="4" s="1"/>
  <c r="BJ1222" i="4"/>
  <c r="BH1222" i="4"/>
  <c r="AB1222" i="4" s="1"/>
  <c r="BF1222" i="4"/>
  <c r="BD1222" i="4"/>
  <c r="AP1222" i="4"/>
  <c r="AO1222" i="4"/>
  <c r="AW1222" i="4" s="1"/>
  <c r="AL1222" i="4"/>
  <c r="AK1222" i="4"/>
  <c r="AJ1222" i="4"/>
  <c r="AH1222" i="4"/>
  <c r="AG1222" i="4"/>
  <c r="AF1222" i="4"/>
  <c r="AE1222" i="4"/>
  <c r="AD1222" i="4"/>
  <c r="Z1222" i="4"/>
  <c r="I1222" i="4"/>
  <c r="BJ1220" i="4"/>
  <c r="BI1220" i="4"/>
  <c r="AC1220" i="4" s="1"/>
  <c r="BF1220" i="4"/>
  <c r="BD1220" i="4"/>
  <c r="AP1220" i="4"/>
  <c r="AX1220" i="4" s="1"/>
  <c r="AO1220" i="4"/>
  <c r="AK1220" i="4"/>
  <c r="AJ1220" i="4"/>
  <c r="AH1220" i="4"/>
  <c r="AG1220" i="4"/>
  <c r="AF1220" i="4"/>
  <c r="AE1220" i="4"/>
  <c r="AD1220" i="4"/>
  <c r="Z1220" i="4"/>
  <c r="I1220" i="4"/>
  <c r="AL1220" i="4" s="1"/>
  <c r="BJ1218" i="4"/>
  <c r="BI1218" i="4"/>
  <c r="AC1218" i="4" s="1"/>
  <c r="BH1218" i="4"/>
  <c r="AB1218" i="4" s="1"/>
  <c r="BF1218" i="4"/>
  <c r="BD1218" i="4"/>
  <c r="AP1218" i="4"/>
  <c r="AX1218" i="4" s="1"/>
  <c r="AO1218" i="4"/>
  <c r="AW1218" i="4" s="1"/>
  <c r="AL1218" i="4"/>
  <c r="AK1218" i="4"/>
  <c r="AJ1218" i="4"/>
  <c r="AH1218" i="4"/>
  <c r="AG1218" i="4"/>
  <c r="AF1218" i="4"/>
  <c r="AE1218" i="4"/>
  <c r="AD1218" i="4"/>
  <c r="Z1218" i="4"/>
  <c r="I1218" i="4"/>
  <c r="BJ1216" i="4"/>
  <c r="BI1216" i="4"/>
  <c r="AC1216" i="4" s="1"/>
  <c r="BH1216" i="4"/>
  <c r="AB1216" i="4" s="1"/>
  <c r="BF1216" i="4"/>
  <c r="BD1216" i="4"/>
  <c r="AP1216" i="4"/>
  <c r="AX1216" i="4" s="1"/>
  <c r="AO1216" i="4"/>
  <c r="AW1216" i="4" s="1"/>
  <c r="AK1216" i="4"/>
  <c r="AJ1216" i="4"/>
  <c r="AH1216" i="4"/>
  <c r="AG1216" i="4"/>
  <c r="AF1216" i="4"/>
  <c r="AE1216" i="4"/>
  <c r="AD1216" i="4"/>
  <c r="Z1216" i="4"/>
  <c r="I1216" i="4"/>
  <c r="AL1216" i="4" s="1"/>
  <c r="BJ1214" i="4"/>
  <c r="BI1214" i="4"/>
  <c r="AC1214" i="4" s="1"/>
  <c r="BH1214" i="4"/>
  <c r="AB1214" i="4" s="1"/>
  <c r="BF1214" i="4"/>
  <c r="BD1214" i="4"/>
  <c r="AX1214" i="4"/>
  <c r="AP1214" i="4"/>
  <c r="AO1214" i="4"/>
  <c r="AW1214" i="4" s="1"/>
  <c r="AL1214" i="4"/>
  <c r="AK1214" i="4"/>
  <c r="AJ1214" i="4"/>
  <c r="AH1214" i="4"/>
  <c r="AG1214" i="4"/>
  <c r="AF1214" i="4"/>
  <c r="AE1214" i="4"/>
  <c r="AD1214" i="4"/>
  <c r="Z1214" i="4"/>
  <c r="I1214" i="4"/>
  <c r="BJ1212" i="4"/>
  <c r="BI1212" i="4"/>
  <c r="BH1212" i="4"/>
  <c r="AB1212" i="4" s="1"/>
  <c r="BF1212" i="4"/>
  <c r="BD1212" i="4"/>
  <c r="AW1212" i="4"/>
  <c r="AP1212" i="4"/>
  <c r="AX1212" i="4" s="1"/>
  <c r="AO1212" i="4"/>
  <c r="AL1212" i="4"/>
  <c r="AK1212" i="4"/>
  <c r="AJ1212" i="4"/>
  <c r="AH1212" i="4"/>
  <c r="AG1212" i="4"/>
  <c r="AF1212" i="4"/>
  <c r="AE1212" i="4"/>
  <c r="AD1212" i="4"/>
  <c r="AC1212" i="4"/>
  <c r="Z1212" i="4"/>
  <c r="I1212" i="4"/>
  <c r="BJ1210" i="4"/>
  <c r="BI1210" i="4"/>
  <c r="AC1210" i="4" s="1"/>
  <c r="BH1210" i="4"/>
  <c r="BF1210" i="4"/>
  <c r="BD1210" i="4"/>
  <c r="BC1210" i="4"/>
  <c r="AX1210" i="4"/>
  <c r="AV1210" i="4" s="1"/>
  <c r="AP1210" i="4"/>
  <c r="AO1210" i="4"/>
  <c r="AW1210" i="4" s="1"/>
  <c r="AK1210" i="4"/>
  <c r="AJ1210" i="4"/>
  <c r="AH1210" i="4"/>
  <c r="AG1210" i="4"/>
  <c r="AF1210" i="4"/>
  <c r="AE1210" i="4"/>
  <c r="AD1210" i="4"/>
  <c r="AB1210" i="4"/>
  <c r="Z1210" i="4"/>
  <c r="I1210" i="4"/>
  <c r="AL1210" i="4" s="1"/>
  <c r="AS1209" i="4"/>
  <c r="BJ1207" i="4"/>
  <c r="BI1207" i="4"/>
  <c r="AC1207" i="4" s="1"/>
  <c r="BH1207" i="4"/>
  <c r="AB1207" i="4" s="1"/>
  <c r="BF1207" i="4"/>
  <c r="BD1207" i="4"/>
  <c r="AP1207" i="4"/>
  <c r="AX1207" i="4" s="1"/>
  <c r="AO1207" i="4"/>
  <c r="AW1207" i="4" s="1"/>
  <c r="AV1207" i="4" s="1"/>
  <c r="AK1207" i="4"/>
  <c r="AJ1207" i="4"/>
  <c r="AH1207" i="4"/>
  <c r="AG1207" i="4"/>
  <c r="AF1207" i="4"/>
  <c r="AE1207" i="4"/>
  <c r="AD1207" i="4"/>
  <c r="Z1207" i="4"/>
  <c r="I1207" i="4"/>
  <c r="AL1207" i="4" s="1"/>
  <c r="BJ1205" i="4"/>
  <c r="BI1205" i="4"/>
  <c r="AC1205" i="4" s="1"/>
  <c r="BH1205" i="4"/>
  <c r="AB1205" i="4" s="1"/>
  <c r="BF1205" i="4"/>
  <c r="BD1205" i="4"/>
  <c r="AX1205" i="4"/>
  <c r="AP1205" i="4"/>
  <c r="AO1205" i="4"/>
  <c r="AW1205" i="4" s="1"/>
  <c r="AL1205" i="4"/>
  <c r="AK1205" i="4"/>
  <c r="AJ1205" i="4"/>
  <c r="AH1205" i="4"/>
  <c r="AG1205" i="4"/>
  <c r="AF1205" i="4"/>
  <c r="AE1205" i="4"/>
  <c r="AD1205" i="4"/>
  <c r="Z1205" i="4"/>
  <c r="I1205" i="4"/>
  <c r="BJ1203" i="4"/>
  <c r="BI1203" i="4"/>
  <c r="BH1203" i="4"/>
  <c r="AB1203" i="4" s="1"/>
  <c r="BF1203" i="4"/>
  <c r="BD1203" i="4"/>
  <c r="BC1203" i="4"/>
  <c r="AW1203" i="4"/>
  <c r="AP1203" i="4"/>
  <c r="AX1203" i="4" s="1"/>
  <c r="AO1203" i="4"/>
  <c r="AL1203" i="4"/>
  <c r="AK1203" i="4"/>
  <c r="AJ1203" i="4"/>
  <c r="AH1203" i="4"/>
  <c r="AG1203" i="4"/>
  <c r="AF1203" i="4"/>
  <c r="AE1203" i="4"/>
  <c r="AD1203" i="4"/>
  <c r="AC1203" i="4"/>
  <c r="Z1203" i="4"/>
  <c r="I1203" i="4"/>
  <c r="BJ1201" i="4"/>
  <c r="BI1201" i="4"/>
  <c r="AC1201" i="4" s="1"/>
  <c r="BH1201" i="4"/>
  <c r="BF1201" i="4"/>
  <c r="BD1201" i="4"/>
  <c r="AX1201" i="4"/>
  <c r="AV1201" i="4"/>
  <c r="AP1201" i="4"/>
  <c r="AO1201" i="4"/>
  <c r="AW1201" i="4" s="1"/>
  <c r="BC1201" i="4" s="1"/>
  <c r="AK1201" i="4"/>
  <c r="AJ1201" i="4"/>
  <c r="AH1201" i="4"/>
  <c r="AG1201" i="4"/>
  <c r="AF1201" i="4"/>
  <c r="AE1201" i="4"/>
  <c r="AD1201" i="4"/>
  <c r="AB1201" i="4"/>
  <c r="Z1201" i="4"/>
  <c r="I1201" i="4"/>
  <c r="AL1201" i="4" s="1"/>
  <c r="BJ1199" i="4"/>
  <c r="BI1199" i="4"/>
  <c r="AC1199" i="4" s="1"/>
  <c r="BH1199" i="4"/>
  <c r="AB1199" i="4" s="1"/>
  <c r="BF1199" i="4"/>
  <c r="BD1199" i="4"/>
  <c r="BC1199" i="4"/>
  <c r="AX1199" i="4"/>
  <c r="AW1199" i="4"/>
  <c r="AP1199" i="4"/>
  <c r="AO1199" i="4"/>
  <c r="AL1199" i="4"/>
  <c r="AK1199" i="4"/>
  <c r="AJ1199" i="4"/>
  <c r="AH1199" i="4"/>
  <c r="AG1199" i="4"/>
  <c r="AF1199" i="4"/>
  <c r="AE1199" i="4"/>
  <c r="AD1199" i="4"/>
  <c r="Z1199" i="4"/>
  <c r="I1199" i="4"/>
  <c r="BJ1197" i="4"/>
  <c r="BI1197" i="4"/>
  <c r="BH1197" i="4"/>
  <c r="AB1197" i="4" s="1"/>
  <c r="BF1197" i="4"/>
  <c r="BD1197" i="4"/>
  <c r="AX1197" i="4"/>
  <c r="AP1197" i="4"/>
  <c r="AO1197" i="4"/>
  <c r="AW1197" i="4" s="1"/>
  <c r="AK1197" i="4"/>
  <c r="AJ1197" i="4"/>
  <c r="AH1197" i="4"/>
  <c r="AG1197" i="4"/>
  <c r="AF1197" i="4"/>
  <c r="AE1197" i="4"/>
  <c r="AD1197" i="4"/>
  <c r="AC1197" i="4"/>
  <c r="Z1197" i="4"/>
  <c r="I1197" i="4"/>
  <c r="AL1197" i="4" s="1"/>
  <c r="BJ1195" i="4"/>
  <c r="BH1195" i="4"/>
  <c r="BF1195" i="4"/>
  <c r="BD1195" i="4"/>
  <c r="AX1195" i="4"/>
  <c r="AW1195" i="4"/>
  <c r="AP1195" i="4"/>
  <c r="BI1195" i="4" s="1"/>
  <c r="AO1195" i="4"/>
  <c r="AL1195" i="4"/>
  <c r="AK1195" i="4"/>
  <c r="AJ1195" i="4"/>
  <c r="AH1195" i="4"/>
  <c r="AG1195" i="4"/>
  <c r="AF1195" i="4"/>
  <c r="AE1195" i="4"/>
  <c r="AD1195" i="4"/>
  <c r="AC1195" i="4"/>
  <c r="AB1195" i="4"/>
  <c r="Z1195" i="4"/>
  <c r="I1195" i="4"/>
  <c r="BJ1193" i="4"/>
  <c r="BF1193" i="4"/>
  <c r="BD1193" i="4"/>
  <c r="AP1193" i="4"/>
  <c r="AO1193" i="4"/>
  <c r="AK1193" i="4"/>
  <c r="AT1188" i="4" s="1"/>
  <c r="AJ1193" i="4"/>
  <c r="AH1193" i="4"/>
  <c r="AG1193" i="4"/>
  <c r="AF1193" i="4"/>
  <c r="AE1193" i="4"/>
  <c r="AD1193" i="4"/>
  <c r="Z1193" i="4"/>
  <c r="I1193" i="4"/>
  <c r="AL1193" i="4" s="1"/>
  <c r="BJ1191" i="4"/>
  <c r="BI1191" i="4"/>
  <c r="AC1191" i="4" s="1"/>
  <c r="BF1191" i="4"/>
  <c r="BD1191" i="4"/>
  <c r="AP1191" i="4"/>
  <c r="AX1191" i="4" s="1"/>
  <c r="AO1191" i="4"/>
  <c r="AK1191" i="4"/>
  <c r="AJ1191" i="4"/>
  <c r="AH1191" i="4"/>
  <c r="AG1191" i="4"/>
  <c r="AF1191" i="4"/>
  <c r="AE1191" i="4"/>
  <c r="AD1191" i="4"/>
  <c r="Z1191" i="4"/>
  <c r="I1191" i="4"/>
  <c r="AL1191" i="4" s="1"/>
  <c r="BJ1189" i="4"/>
  <c r="BH1189" i="4"/>
  <c r="AB1189" i="4" s="1"/>
  <c r="BF1189" i="4"/>
  <c r="BD1189" i="4"/>
  <c r="AX1189" i="4"/>
  <c r="AW1189" i="4"/>
  <c r="AP1189" i="4"/>
  <c r="BI1189" i="4" s="1"/>
  <c r="AO1189" i="4"/>
  <c r="AK1189" i="4"/>
  <c r="AJ1189" i="4"/>
  <c r="AH1189" i="4"/>
  <c r="AG1189" i="4"/>
  <c r="AF1189" i="4"/>
  <c r="AE1189" i="4"/>
  <c r="AD1189" i="4"/>
  <c r="AC1189" i="4"/>
  <c r="Z1189" i="4"/>
  <c r="I1189" i="4"/>
  <c r="AL1189" i="4" s="1"/>
  <c r="BJ1186" i="4"/>
  <c r="BI1186" i="4"/>
  <c r="BH1186" i="4"/>
  <c r="BF1186" i="4"/>
  <c r="BD1186" i="4"/>
  <c r="AX1186" i="4"/>
  <c r="AW1186" i="4"/>
  <c r="AP1186" i="4"/>
  <c r="AO1186" i="4"/>
  <c r="AK1186" i="4"/>
  <c r="AJ1186" i="4"/>
  <c r="AH1186" i="4"/>
  <c r="AG1186" i="4"/>
  <c r="AF1186" i="4"/>
  <c r="AE1186" i="4"/>
  <c r="AD1186" i="4"/>
  <c r="AC1186" i="4"/>
  <c r="AB1186" i="4"/>
  <c r="Z1186" i="4"/>
  <c r="I1186" i="4"/>
  <c r="AL1186" i="4" s="1"/>
  <c r="BJ1185" i="4"/>
  <c r="BH1185" i="4"/>
  <c r="BF1185" i="4"/>
  <c r="BD1185" i="4"/>
  <c r="AW1185" i="4"/>
  <c r="AP1185" i="4"/>
  <c r="BI1185" i="4" s="1"/>
  <c r="AE1185" i="4" s="1"/>
  <c r="AO1185" i="4"/>
  <c r="AL1185" i="4"/>
  <c r="AK1185" i="4"/>
  <c r="AJ1185" i="4"/>
  <c r="AH1185" i="4"/>
  <c r="AG1185" i="4"/>
  <c r="AF1185" i="4"/>
  <c r="AD1185" i="4"/>
  <c r="AC1185" i="4"/>
  <c r="AB1185" i="4"/>
  <c r="Z1185" i="4"/>
  <c r="I1185" i="4"/>
  <c r="BJ1184" i="4"/>
  <c r="BF1184" i="4"/>
  <c r="BD1184" i="4"/>
  <c r="AP1184" i="4"/>
  <c r="AO1184" i="4"/>
  <c r="BH1184" i="4" s="1"/>
  <c r="AD1184" i="4" s="1"/>
  <c r="AK1184" i="4"/>
  <c r="AJ1184" i="4"/>
  <c r="AH1184" i="4"/>
  <c r="AG1184" i="4"/>
  <c r="AF1184" i="4"/>
  <c r="AC1184" i="4"/>
  <c r="AB1184" i="4"/>
  <c r="Z1184" i="4"/>
  <c r="I1184" i="4"/>
  <c r="AL1184" i="4" s="1"/>
  <c r="BJ1183" i="4"/>
  <c r="BF1183" i="4"/>
  <c r="BD1183" i="4"/>
  <c r="AP1183" i="4"/>
  <c r="AO1183" i="4"/>
  <c r="AK1183" i="4"/>
  <c r="AJ1183" i="4"/>
  <c r="AH1183" i="4"/>
  <c r="AG1183" i="4"/>
  <c r="AF1183" i="4"/>
  <c r="AC1183" i="4"/>
  <c r="AB1183" i="4"/>
  <c r="Z1183" i="4"/>
  <c r="I1183" i="4"/>
  <c r="AL1183" i="4" s="1"/>
  <c r="BJ1182" i="4"/>
  <c r="BF1182" i="4"/>
  <c r="BD1182" i="4"/>
  <c r="AX1182" i="4"/>
  <c r="AW1182" i="4"/>
  <c r="AP1182" i="4"/>
  <c r="BI1182" i="4" s="1"/>
  <c r="AE1182" i="4" s="1"/>
  <c r="AO1182" i="4"/>
  <c r="BH1182" i="4" s="1"/>
  <c r="AD1182" i="4" s="1"/>
  <c r="AL1182" i="4"/>
  <c r="AK1182" i="4"/>
  <c r="AT1169" i="4" s="1"/>
  <c r="AJ1182" i="4"/>
  <c r="AH1182" i="4"/>
  <c r="AG1182" i="4"/>
  <c r="AF1182" i="4"/>
  <c r="AC1182" i="4"/>
  <c r="AB1182" i="4"/>
  <c r="Z1182" i="4"/>
  <c r="I1182" i="4"/>
  <c r="BJ1181" i="4"/>
  <c r="BI1181" i="4"/>
  <c r="AE1181" i="4" s="1"/>
  <c r="BF1181" i="4"/>
  <c r="BD1181" i="4"/>
  <c r="AW1181" i="4"/>
  <c r="BC1181" i="4" s="1"/>
  <c r="AP1181" i="4"/>
  <c r="AX1181" i="4" s="1"/>
  <c r="AO1181" i="4"/>
  <c r="BH1181" i="4" s="1"/>
  <c r="AD1181" i="4" s="1"/>
  <c r="AL1181" i="4"/>
  <c r="AK1181" i="4"/>
  <c r="AJ1181" i="4"/>
  <c r="AH1181" i="4"/>
  <c r="AG1181" i="4"/>
  <c r="AF1181" i="4"/>
  <c r="AC1181" i="4"/>
  <c r="AB1181" i="4"/>
  <c r="Z1181" i="4"/>
  <c r="I1181" i="4"/>
  <c r="BJ1180" i="4"/>
  <c r="BH1180" i="4"/>
  <c r="AD1180" i="4" s="1"/>
  <c r="BF1180" i="4"/>
  <c r="BD1180" i="4"/>
  <c r="AP1180" i="4"/>
  <c r="AX1180" i="4" s="1"/>
  <c r="AO1180" i="4"/>
  <c r="AW1180" i="4" s="1"/>
  <c r="BC1180" i="4" s="1"/>
  <c r="AL1180" i="4"/>
  <c r="AK1180" i="4"/>
  <c r="AJ1180" i="4"/>
  <c r="AH1180" i="4"/>
  <c r="AG1180" i="4"/>
  <c r="AF1180" i="4"/>
  <c r="AC1180" i="4"/>
  <c r="AB1180" i="4"/>
  <c r="Z1180" i="4"/>
  <c r="I1180" i="4"/>
  <c r="BJ1179" i="4"/>
  <c r="BI1179" i="4"/>
  <c r="BH1179" i="4"/>
  <c r="AD1179" i="4" s="1"/>
  <c r="BF1179" i="4"/>
  <c r="BD1179" i="4"/>
  <c r="AP1179" i="4"/>
  <c r="AX1179" i="4" s="1"/>
  <c r="AO1179" i="4"/>
  <c r="AW1179" i="4" s="1"/>
  <c r="AK1179" i="4"/>
  <c r="AJ1179" i="4"/>
  <c r="AH1179" i="4"/>
  <c r="AG1179" i="4"/>
  <c r="AF1179" i="4"/>
  <c r="AE1179" i="4"/>
  <c r="AC1179" i="4"/>
  <c r="AB1179" i="4"/>
  <c r="Z1179" i="4"/>
  <c r="I1179" i="4"/>
  <c r="AL1179" i="4" s="1"/>
  <c r="BJ1178" i="4"/>
  <c r="BI1178" i="4"/>
  <c r="AE1178" i="4" s="1"/>
  <c r="BF1178" i="4"/>
  <c r="BD1178" i="4"/>
  <c r="AX1178" i="4"/>
  <c r="AP1178" i="4"/>
  <c r="AO1178" i="4"/>
  <c r="AW1178" i="4" s="1"/>
  <c r="AL1178" i="4"/>
  <c r="AK1178" i="4"/>
  <c r="AJ1178" i="4"/>
  <c r="AH1178" i="4"/>
  <c r="AG1178" i="4"/>
  <c r="AF1178" i="4"/>
  <c r="AC1178" i="4"/>
  <c r="AB1178" i="4"/>
  <c r="Z1178" i="4"/>
  <c r="I1178" i="4"/>
  <c r="BJ1177" i="4"/>
  <c r="BI1177" i="4"/>
  <c r="BH1177" i="4"/>
  <c r="AD1177" i="4" s="1"/>
  <c r="BF1177" i="4"/>
  <c r="BD1177" i="4"/>
  <c r="AW1177" i="4"/>
  <c r="AP1177" i="4"/>
  <c r="AX1177" i="4" s="1"/>
  <c r="AO1177" i="4"/>
  <c r="AL1177" i="4"/>
  <c r="AK1177" i="4"/>
  <c r="AJ1177" i="4"/>
  <c r="AH1177" i="4"/>
  <c r="AG1177" i="4"/>
  <c r="AF1177" i="4"/>
  <c r="AE1177" i="4"/>
  <c r="AC1177" i="4"/>
  <c r="AB1177" i="4"/>
  <c r="Z1177" i="4"/>
  <c r="I1177" i="4"/>
  <c r="BJ1176" i="4"/>
  <c r="BI1176" i="4"/>
  <c r="AE1176" i="4" s="1"/>
  <c r="BH1176" i="4"/>
  <c r="BF1176" i="4"/>
  <c r="BD1176" i="4"/>
  <c r="BC1176" i="4"/>
  <c r="AX1176" i="4"/>
  <c r="AV1176" i="4" s="1"/>
  <c r="AP1176" i="4"/>
  <c r="AO1176" i="4"/>
  <c r="AW1176" i="4" s="1"/>
  <c r="AK1176" i="4"/>
  <c r="AJ1176" i="4"/>
  <c r="AH1176" i="4"/>
  <c r="AG1176" i="4"/>
  <c r="AF1176" i="4"/>
  <c r="AD1176" i="4"/>
  <c r="AC1176" i="4"/>
  <c r="AB1176" i="4"/>
  <c r="Z1176" i="4"/>
  <c r="I1176" i="4"/>
  <c r="AL1176" i="4" s="1"/>
  <c r="BJ1175" i="4"/>
  <c r="BH1175" i="4"/>
  <c r="AD1175" i="4" s="1"/>
  <c r="BF1175" i="4"/>
  <c r="BD1175" i="4"/>
  <c r="AW1175" i="4"/>
  <c r="AP1175" i="4"/>
  <c r="AO1175" i="4"/>
  <c r="AL1175" i="4"/>
  <c r="AK1175" i="4"/>
  <c r="AJ1175" i="4"/>
  <c r="AH1175" i="4"/>
  <c r="AG1175" i="4"/>
  <c r="AF1175" i="4"/>
  <c r="AC1175" i="4"/>
  <c r="AB1175" i="4"/>
  <c r="Z1175" i="4"/>
  <c r="I1175" i="4"/>
  <c r="BJ1174" i="4"/>
  <c r="BI1174" i="4"/>
  <c r="BF1174" i="4"/>
  <c r="BD1174" i="4"/>
  <c r="AX1174" i="4"/>
  <c r="AP1174" i="4"/>
  <c r="AO1174" i="4"/>
  <c r="AK1174" i="4"/>
  <c r="AJ1174" i="4"/>
  <c r="AH1174" i="4"/>
  <c r="AG1174" i="4"/>
  <c r="AF1174" i="4"/>
  <c r="AE1174" i="4"/>
  <c r="AC1174" i="4"/>
  <c r="AB1174" i="4"/>
  <c r="Z1174" i="4"/>
  <c r="I1174" i="4"/>
  <c r="AL1174" i="4" s="1"/>
  <c r="BJ1173" i="4"/>
  <c r="BH1173" i="4"/>
  <c r="BF1173" i="4"/>
  <c r="BD1173" i="4"/>
  <c r="AW1173" i="4"/>
  <c r="AP1173" i="4"/>
  <c r="BI1173" i="4" s="1"/>
  <c r="AE1173" i="4" s="1"/>
  <c r="AO1173" i="4"/>
  <c r="AL1173" i="4"/>
  <c r="AK1173" i="4"/>
  <c r="AJ1173" i="4"/>
  <c r="AH1173" i="4"/>
  <c r="AG1173" i="4"/>
  <c r="AF1173" i="4"/>
  <c r="AD1173" i="4"/>
  <c r="AC1173" i="4"/>
  <c r="AB1173" i="4"/>
  <c r="Z1173" i="4"/>
  <c r="I1173" i="4"/>
  <c r="BJ1172" i="4"/>
  <c r="BF1172" i="4"/>
  <c r="BD1172" i="4"/>
  <c r="AX1172" i="4"/>
  <c r="AP1172" i="4"/>
  <c r="BI1172" i="4" s="1"/>
  <c r="AO1172" i="4"/>
  <c r="BH1172" i="4" s="1"/>
  <c r="AK1172" i="4"/>
  <c r="AJ1172" i="4"/>
  <c r="AH1172" i="4"/>
  <c r="AG1172" i="4"/>
  <c r="AF1172" i="4"/>
  <c r="AE1172" i="4"/>
  <c r="AD1172" i="4"/>
  <c r="AC1172" i="4"/>
  <c r="AB1172" i="4"/>
  <c r="Z1172" i="4"/>
  <c r="I1172" i="4"/>
  <c r="AL1172" i="4" s="1"/>
  <c r="BJ1171" i="4"/>
  <c r="BI1171" i="4"/>
  <c r="AE1171" i="4" s="1"/>
  <c r="BF1171" i="4"/>
  <c r="BD1171" i="4"/>
  <c r="AX1171" i="4"/>
  <c r="AW1171" i="4"/>
  <c r="BC1171" i="4" s="1"/>
  <c r="AV1171" i="4"/>
  <c r="AP1171" i="4"/>
  <c r="AO1171" i="4"/>
  <c r="BH1171" i="4" s="1"/>
  <c r="AL1171" i="4"/>
  <c r="AK1171" i="4"/>
  <c r="AJ1171" i="4"/>
  <c r="AS1169" i="4" s="1"/>
  <c r="AH1171" i="4"/>
  <c r="AG1171" i="4"/>
  <c r="AF1171" i="4"/>
  <c r="AD1171" i="4"/>
  <c r="AC1171" i="4"/>
  <c r="AB1171" i="4"/>
  <c r="Z1171" i="4"/>
  <c r="I1171" i="4"/>
  <c r="BJ1170" i="4"/>
  <c r="BF1170" i="4"/>
  <c r="BD1170" i="4"/>
  <c r="AP1170" i="4"/>
  <c r="BI1170" i="4" s="1"/>
  <c r="AE1170" i="4" s="1"/>
  <c r="AO1170" i="4"/>
  <c r="AL1170" i="4"/>
  <c r="AK1170" i="4"/>
  <c r="AJ1170" i="4"/>
  <c r="AH1170" i="4"/>
  <c r="AG1170" i="4"/>
  <c r="AF1170" i="4"/>
  <c r="AC1170" i="4"/>
  <c r="AB1170" i="4"/>
  <c r="Z1170" i="4"/>
  <c r="I1170" i="4"/>
  <c r="I1169" i="4" s="1"/>
  <c r="BJ1168" i="4"/>
  <c r="BH1168" i="4"/>
  <c r="BF1168" i="4"/>
  <c r="BD1168" i="4"/>
  <c r="AW1168" i="4"/>
  <c r="AP1168" i="4"/>
  <c r="BI1168" i="4" s="1"/>
  <c r="AE1168" i="4" s="1"/>
  <c r="AO1168" i="4"/>
  <c r="AL1168" i="4"/>
  <c r="AK1168" i="4"/>
  <c r="AJ1168" i="4"/>
  <c r="AH1168" i="4"/>
  <c r="AG1168" i="4"/>
  <c r="AF1168" i="4"/>
  <c r="AD1168" i="4"/>
  <c r="AC1168" i="4"/>
  <c r="AB1168" i="4"/>
  <c r="Z1168" i="4"/>
  <c r="I1168" i="4"/>
  <c r="BJ1167" i="4"/>
  <c r="BH1167" i="4"/>
  <c r="AD1167" i="4" s="1"/>
  <c r="BF1167" i="4"/>
  <c r="BD1167" i="4"/>
  <c r="AX1167" i="4"/>
  <c r="AW1167" i="4"/>
  <c r="BC1167" i="4" s="1"/>
  <c r="AP1167" i="4"/>
  <c r="BI1167" i="4" s="1"/>
  <c r="AE1167" i="4" s="1"/>
  <c r="AO1167" i="4"/>
  <c r="AK1167" i="4"/>
  <c r="AJ1167" i="4"/>
  <c r="AH1167" i="4"/>
  <c r="AG1167" i="4"/>
  <c r="AF1167" i="4"/>
  <c r="AC1167" i="4"/>
  <c r="AB1167" i="4"/>
  <c r="Z1167" i="4"/>
  <c r="I1167" i="4"/>
  <c r="AL1167" i="4" s="1"/>
  <c r="BJ1166" i="4"/>
  <c r="BI1166" i="4"/>
  <c r="AE1166" i="4" s="1"/>
  <c r="BF1166" i="4"/>
  <c r="BD1166" i="4"/>
  <c r="AP1166" i="4"/>
  <c r="AX1166" i="4" s="1"/>
  <c r="AO1166" i="4"/>
  <c r="BH1166" i="4" s="1"/>
  <c r="AD1166" i="4" s="1"/>
  <c r="AK1166" i="4"/>
  <c r="AJ1166" i="4"/>
  <c r="AH1166" i="4"/>
  <c r="AG1166" i="4"/>
  <c r="AF1166" i="4"/>
  <c r="AC1166" i="4"/>
  <c r="AB1166" i="4"/>
  <c r="Z1166" i="4"/>
  <c r="I1166" i="4"/>
  <c r="AL1166" i="4" s="1"/>
  <c r="BJ1165" i="4"/>
  <c r="BH1165" i="4"/>
  <c r="BF1165" i="4"/>
  <c r="BD1165" i="4"/>
  <c r="AX1165" i="4"/>
  <c r="AW1165" i="4"/>
  <c r="AP1165" i="4"/>
  <c r="BI1165" i="4" s="1"/>
  <c r="AE1165" i="4" s="1"/>
  <c r="AO1165" i="4"/>
  <c r="AL1165" i="4"/>
  <c r="AK1165" i="4"/>
  <c r="AJ1165" i="4"/>
  <c r="AH1165" i="4"/>
  <c r="AG1165" i="4"/>
  <c r="AF1165" i="4"/>
  <c r="AD1165" i="4"/>
  <c r="AC1165" i="4"/>
  <c r="AB1165" i="4"/>
  <c r="Z1165" i="4"/>
  <c r="I1165" i="4"/>
  <c r="BJ1164" i="4"/>
  <c r="BF1164" i="4"/>
  <c r="BD1164" i="4"/>
  <c r="AP1164" i="4"/>
  <c r="AO1164" i="4"/>
  <c r="AK1164" i="4"/>
  <c r="AJ1164" i="4"/>
  <c r="AH1164" i="4"/>
  <c r="AG1164" i="4"/>
  <c r="AF1164" i="4"/>
  <c r="AC1164" i="4"/>
  <c r="AB1164" i="4"/>
  <c r="Z1164" i="4"/>
  <c r="I1164" i="4"/>
  <c r="AL1164" i="4" s="1"/>
  <c r="BJ1163" i="4"/>
  <c r="BF1163" i="4"/>
  <c r="BD1163" i="4"/>
  <c r="AX1163" i="4"/>
  <c r="AP1163" i="4"/>
  <c r="BI1163" i="4" s="1"/>
  <c r="AE1163" i="4" s="1"/>
  <c r="AO1163" i="4"/>
  <c r="BH1163" i="4" s="1"/>
  <c r="AD1163" i="4" s="1"/>
  <c r="AL1163" i="4"/>
  <c r="AK1163" i="4"/>
  <c r="AT1156" i="4" s="1"/>
  <c r="AJ1163" i="4"/>
  <c r="AH1163" i="4"/>
  <c r="AG1163" i="4"/>
  <c r="AF1163" i="4"/>
  <c r="AC1163" i="4"/>
  <c r="AB1163" i="4"/>
  <c r="Z1163" i="4"/>
  <c r="I1163" i="4"/>
  <c r="BJ1162" i="4"/>
  <c r="BI1162" i="4"/>
  <c r="AE1162" i="4" s="1"/>
  <c r="BH1162" i="4"/>
  <c r="AD1162" i="4" s="1"/>
  <c r="BF1162" i="4"/>
  <c r="BD1162" i="4"/>
  <c r="AW1162" i="4"/>
  <c r="BC1162" i="4" s="1"/>
  <c r="AP1162" i="4"/>
  <c r="AX1162" i="4" s="1"/>
  <c r="AO1162" i="4"/>
  <c r="AL1162" i="4"/>
  <c r="AK1162" i="4"/>
  <c r="AJ1162" i="4"/>
  <c r="AH1162" i="4"/>
  <c r="AG1162" i="4"/>
  <c r="AF1162" i="4"/>
  <c r="AC1162" i="4"/>
  <c r="AB1162" i="4"/>
  <c r="Z1162" i="4"/>
  <c r="I1162" i="4"/>
  <c r="BJ1161" i="4"/>
  <c r="BI1161" i="4"/>
  <c r="AE1161" i="4" s="1"/>
  <c r="BH1161" i="4"/>
  <c r="AD1161" i="4" s="1"/>
  <c r="BF1161" i="4"/>
  <c r="BD1161" i="4"/>
  <c r="AP1161" i="4"/>
  <c r="AX1161" i="4" s="1"/>
  <c r="AO1161" i="4"/>
  <c r="AW1161" i="4" s="1"/>
  <c r="AK1161" i="4"/>
  <c r="AJ1161" i="4"/>
  <c r="AS1156" i="4" s="1"/>
  <c r="AH1161" i="4"/>
  <c r="AG1161" i="4"/>
  <c r="AF1161" i="4"/>
  <c r="AC1161" i="4"/>
  <c r="AB1161" i="4"/>
  <c r="Z1161" i="4"/>
  <c r="I1161" i="4"/>
  <c r="AL1161" i="4" s="1"/>
  <c r="BJ1160" i="4"/>
  <c r="BH1160" i="4"/>
  <c r="AD1160" i="4" s="1"/>
  <c r="BF1160" i="4"/>
  <c r="BD1160" i="4"/>
  <c r="AP1160" i="4"/>
  <c r="AX1160" i="4" s="1"/>
  <c r="AO1160" i="4"/>
  <c r="AW1160" i="4" s="1"/>
  <c r="AK1160" i="4"/>
  <c r="AJ1160" i="4"/>
  <c r="AH1160" i="4"/>
  <c r="AG1160" i="4"/>
  <c r="AF1160" i="4"/>
  <c r="AC1160" i="4"/>
  <c r="AB1160" i="4"/>
  <c r="Z1160" i="4"/>
  <c r="I1160" i="4"/>
  <c r="AL1160" i="4" s="1"/>
  <c r="BJ1159" i="4"/>
  <c r="BI1159" i="4"/>
  <c r="BF1159" i="4"/>
  <c r="BD1159" i="4"/>
  <c r="AX1159" i="4"/>
  <c r="AP1159" i="4"/>
  <c r="AO1159" i="4"/>
  <c r="AW1159" i="4" s="1"/>
  <c r="AV1159" i="4" s="1"/>
  <c r="AK1159" i="4"/>
  <c r="AJ1159" i="4"/>
  <c r="AH1159" i="4"/>
  <c r="AG1159" i="4"/>
  <c r="AF1159" i="4"/>
  <c r="AE1159" i="4"/>
  <c r="AC1159" i="4"/>
  <c r="AB1159" i="4"/>
  <c r="Z1159" i="4"/>
  <c r="I1159" i="4"/>
  <c r="AL1159" i="4" s="1"/>
  <c r="BJ1158" i="4"/>
  <c r="BI1158" i="4"/>
  <c r="BH1158" i="4"/>
  <c r="BF1158" i="4"/>
  <c r="BD1158" i="4"/>
  <c r="BC1158" i="4"/>
  <c r="AX1158" i="4"/>
  <c r="AW1158" i="4"/>
  <c r="AV1158" i="4" s="1"/>
  <c r="AP1158" i="4"/>
  <c r="AO1158" i="4"/>
  <c r="AL1158" i="4"/>
  <c r="AK1158" i="4"/>
  <c r="AJ1158" i="4"/>
  <c r="AH1158" i="4"/>
  <c r="AG1158" i="4"/>
  <c r="AF1158" i="4"/>
  <c r="AE1158" i="4"/>
  <c r="AD1158" i="4"/>
  <c r="AC1158" i="4"/>
  <c r="AB1158" i="4"/>
  <c r="Z1158" i="4"/>
  <c r="I1158" i="4"/>
  <c r="BJ1157" i="4"/>
  <c r="BI1157" i="4"/>
  <c r="BH1157" i="4"/>
  <c r="BF1157" i="4"/>
  <c r="BD1157" i="4"/>
  <c r="AX1157" i="4"/>
  <c r="AW1157" i="4"/>
  <c r="AP1157" i="4"/>
  <c r="AO1157" i="4"/>
  <c r="AL1157" i="4"/>
  <c r="AK1157" i="4"/>
  <c r="AJ1157" i="4"/>
  <c r="AH1157" i="4"/>
  <c r="AG1157" i="4"/>
  <c r="AF1157" i="4"/>
  <c r="AE1157" i="4"/>
  <c r="AD1157" i="4"/>
  <c r="AC1157" i="4"/>
  <c r="AB1157" i="4"/>
  <c r="Z1157" i="4"/>
  <c r="I1157" i="4"/>
  <c r="BJ1155" i="4"/>
  <c r="BH1155" i="4"/>
  <c r="AD1155" i="4" s="1"/>
  <c r="BF1155" i="4"/>
  <c r="BD1155" i="4"/>
  <c r="AP1155" i="4"/>
  <c r="AX1155" i="4" s="1"/>
  <c r="AO1155" i="4"/>
  <c r="AW1155" i="4" s="1"/>
  <c r="AK1155" i="4"/>
  <c r="AJ1155" i="4"/>
  <c r="AH1155" i="4"/>
  <c r="AG1155" i="4"/>
  <c r="AF1155" i="4"/>
  <c r="AC1155" i="4"/>
  <c r="AB1155" i="4"/>
  <c r="Z1155" i="4"/>
  <c r="I1155" i="4"/>
  <c r="AL1155" i="4" s="1"/>
  <c r="BJ1154" i="4"/>
  <c r="BI1154" i="4"/>
  <c r="BF1154" i="4"/>
  <c r="BD1154" i="4"/>
  <c r="BC1154" i="4"/>
  <c r="AX1154" i="4"/>
  <c r="AP1154" i="4"/>
  <c r="AO1154" i="4"/>
  <c r="AW1154" i="4" s="1"/>
  <c r="AV1154" i="4" s="1"/>
  <c r="AK1154" i="4"/>
  <c r="AJ1154" i="4"/>
  <c r="AH1154" i="4"/>
  <c r="AG1154" i="4"/>
  <c r="AF1154" i="4"/>
  <c r="AE1154" i="4"/>
  <c r="AC1154" i="4"/>
  <c r="AB1154" i="4"/>
  <c r="Z1154" i="4"/>
  <c r="I1154" i="4"/>
  <c r="AL1154" i="4" s="1"/>
  <c r="BJ1153" i="4"/>
  <c r="BI1153" i="4"/>
  <c r="BH1153" i="4"/>
  <c r="BF1153" i="4"/>
  <c r="BD1153" i="4"/>
  <c r="BC1153" i="4"/>
  <c r="AX1153" i="4"/>
  <c r="AW1153" i="4"/>
  <c r="AP1153" i="4"/>
  <c r="AO1153" i="4"/>
  <c r="AL1153" i="4"/>
  <c r="AK1153" i="4"/>
  <c r="AJ1153" i="4"/>
  <c r="AH1153" i="4"/>
  <c r="AG1153" i="4"/>
  <c r="AF1153" i="4"/>
  <c r="AE1153" i="4"/>
  <c r="AD1153" i="4"/>
  <c r="AC1153" i="4"/>
  <c r="AB1153" i="4"/>
  <c r="Z1153" i="4"/>
  <c r="I1153" i="4"/>
  <c r="BJ1152" i="4"/>
  <c r="BI1152" i="4"/>
  <c r="BH1152" i="4"/>
  <c r="BF1152" i="4"/>
  <c r="BD1152" i="4"/>
  <c r="AX1152" i="4"/>
  <c r="AW1152" i="4"/>
  <c r="AP1152" i="4"/>
  <c r="AO1152" i="4"/>
  <c r="AK1152" i="4"/>
  <c r="AJ1152" i="4"/>
  <c r="AH1152" i="4"/>
  <c r="AG1152" i="4"/>
  <c r="AF1152" i="4"/>
  <c r="AE1152" i="4"/>
  <c r="AD1152" i="4"/>
  <c r="AC1152" i="4"/>
  <c r="AB1152" i="4"/>
  <c r="Z1152" i="4"/>
  <c r="I1152" i="4"/>
  <c r="AL1152" i="4" s="1"/>
  <c r="BJ1151" i="4"/>
  <c r="BI1151" i="4"/>
  <c r="AE1151" i="4" s="1"/>
  <c r="BH1151" i="4"/>
  <c r="BF1151" i="4"/>
  <c r="BD1151" i="4"/>
  <c r="AX1151" i="4"/>
  <c r="AW1151" i="4"/>
  <c r="BC1151" i="4" s="1"/>
  <c r="AV1151" i="4"/>
  <c r="AP1151" i="4"/>
  <c r="AO1151" i="4"/>
  <c r="AL1151" i="4"/>
  <c r="AK1151" i="4"/>
  <c r="AJ1151" i="4"/>
  <c r="AH1151" i="4"/>
  <c r="AG1151" i="4"/>
  <c r="AF1151" i="4"/>
  <c r="AD1151" i="4"/>
  <c r="AC1151" i="4"/>
  <c r="AB1151" i="4"/>
  <c r="Z1151" i="4"/>
  <c r="I1151" i="4"/>
  <c r="BJ1150" i="4"/>
  <c r="BH1150" i="4"/>
  <c r="AD1150" i="4" s="1"/>
  <c r="BF1150" i="4"/>
  <c r="BD1150" i="4"/>
  <c r="AW1150" i="4"/>
  <c r="AP1150" i="4"/>
  <c r="AO1150" i="4"/>
  <c r="AK1150" i="4"/>
  <c r="AJ1150" i="4"/>
  <c r="AH1150" i="4"/>
  <c r="AG1150" i="4"/>
  <c r="AF1150" i="4"/>
  <c r="AC1150" i="4"/>
  <c r="AB1150" i="4"/>
  <c r="Z1150" i="4"/>
  <c r="I1150" i="4"/>
  <c r="AL1150" i="4" s="1"/>
  <c r="BJ1149" i="4"/>
  <c r="BF1149" i="4"/>
  <c r="BD1149" i="4"/>
  <c r="AP1149" i="4"/>
  <c r="AO1149" i="4"/>
  <c r="AK1149" i="4"/>
  <c r="AJ1149" i="4"/>
  <c r="AH1149" i="4"/>
  <c r="AG1149" i="4"/>
  <c r="AF1149" i="4"/>
  <c r="AC1149" i="4"/>
  <c r="AB1149" i="4"/>
  <c r="Z1149" i="4"/>
  <c r="I1149" i="4"/>
  <c r="AL1149" i="4" s="1"/>
  <c r="BJ1148" i="4"/>
  <c r="BF1148" i="4"/>
  <c r="BD1148" i="4"/>
  <c r="AP1148" i="4"/>
  <c r="BI1148" i="4" s="1"/>
  <c r="AE1148" i="4" s="1"/>
  <c r="AO1148" i="4"/>
  <c r="AL1148" i="4"/>
  <c r="AK1148" i="4"/>
  <c r="AJ1148" i="4"/>
  <c r="AH1148" i="4"/>
  <c r="AG1148" i="4"/>
  <c r="AF1148" i="4"/>
  <c r="AC1148" i="4"/>
  <c r="AB1148" i="4"/>
  <c r="Z1148" i="4"/>
  <c r="I1148" i="4"/>
  <c r="BJ1147" i="4"/>
  <c r="BF1147" i="4"/>
  <c r="BD1147" i="4"/>
  <c r="AP1147" i="4"/>
  <c r="AX1147" i="4" s="1"/>
  <c r="AO1147" i="4"/>
  <c r="BH1147" i="4" s="1"/>
  <c r="AD1147" i="4" s="1"/>
  <c r="AL1147" i="4"/>
  <c r="AK1147" i="4"/>
  <c r="AJ1147" i="4"/>
  <c r="AH1147" i="4"/>
  <c r="AG1147" i="4"/>
  <c r="AF1147" i="4"/>
  <c r="AC1147" i="4"/>
  <c r="AB1147" i="4"/>
  <c r="Z1147" i="4"/>
  <c r="I1147" i="4"/>
  <c r="BJ1146" i="4"/>
  <c r="BI1146" i="4"/>
  <c r="AE1146" i="4" s="1"/>
  <c r="BF1146" i="4"/>
  <c r="BD1146" i="4"/>
  <c r="AX1146" i="4"/>
  <c r="AP1146" i="4"/>
  <c r="AO1146" i="4"/>
  <c r="AW1146" i="4" s="1"/>
  <c r="AL1146" i="4"/>
  <c r="AK1146" i="4"/>
  <c r="AJ1146" i="4"/>
  <c r="AH1146" i="4"/>
  <c r="AG1146" i="4"/>
  <c r="AF1146" i="4"/>
  <c r="AC1146" i="4"/>
  <c r="AB1146" i="4"/>
  <c r="Z1146" i="4"/>
  <c r="I1146" i="4"/>
  <c r="AT1145" i="4"/>
  <c r="AS1145" i="4"/>
  <c r="BJ1143" i="4"/>
  <c r="BH1143" i="4"/>
  <c r="BF1143" i="4"/>
  <c r="BD1143" i="4"/>
  <c r="AW1143" i="4"/>
  <c r="AP1143" i="4"/>
  <c r="AO1143" i="4"/>
  <c r="AK1143" i="4"/>
  <c r="AJ1143" i="4"/>
  <c r="AH1143" i="4"/>
  <c r="AG1143" i="4"/>
  <c r="AF1143" i="4"/>
  <c r="AE1143" i="4"/>
  <c r="AD1143" i="4"/>
  <c r="AC1143" i="4"/>
  <c r="AB1143" i="4"/>
  <c r="Z1143" i="4"/>
  <c r="I1143" i="4"/>
  <c r="AL1143" i="4" s="1"/>
  <c r="AU1142" i="4" s="1"/>
  <c r="AT1142" i="4"/>
  <c r="AS1142" i="4"/>
  <c r="I1142" i="4"/>
  <c r="BJ1141" i="4"/>
  <c r="BI1141" i="4"/>
  <c r="BH1141" i="4"/>
  <c r="BF1141" i="4"/>
  <c r="BD1141" i="4"/>
  <c r="AX1141" i="4"/>
  <c r="BC1141" i="4" s="1"/>
  <c r="AW1141" i="4"/>
  <c r="AV1141" i="4" s="1"/>
  <c r="AP1141" i="4"/>
  <c r="AO1141" i="4"/>
  <c r="AL1141" i="4"/>
  <c r="AK1141" i="4"/>
  <c r="AJ1141" i="4"/>
  <c r="AH1141" i="4"/>
  <c r="AG1141" i="4"/>
  <c r="AF1141" i="4"/>
  <c r="AE1141" i="4"/>
  <c r="AD1141" i="4"/>
  <c r="AC1141" i="4"/>
  <c r="AB1141" i="4"/>
  <c r="Z1141" i="4"/>
  <c r="I1141" i="4"/>
  <c r="BJ1140" i="4"/>
  <c r="BI1140" i="4"/>
  <c r="BH1140" i="4"/>
  <c r="BF1140" i="4"/>
  <c r="BD1140" i="4"/>
  <c r="AX1140" i="4"/>
  <c r="AW1140" i="4"/>
  <c r="AP1140" i="4"/>
  <c r="AO1140" i="4"/>
  <c r="AK1140" i="4"/>
  <c r="AJ1140" i="4"/>
  <c r="AH1140" i="4"/>
  <c r="AG1140" i="4"/>
  <c r="AF1140" i="4"/>
  <c r="AE1140" i="4"/>
  <c r="AD1140" i="4"/>
  <c r="AC1140" i="4"/>
  <c r="AB1140" i="4"/>
  <c r="Z1140" i="4"/>
  <c r="I1140" i="4"/>
  <c r="AL1140" i="4" s="1"/>
  <c r="BJ1139" i="4"/>
  <c r="BI1139" i="4"/>
  <c r="AE1139" i="4" s="1"/>
  <c r="BH1139" i="4"/>
  <c r="BF1139" i="4"/>
  <c r="BD1139" i="4"/>
  <c r="AX1139" i="4"/>
  <c r="AW1139" i="4"/>
  <c r="BC1139" i="4" s="1"/>
  <c r="AP1139" i="4"/>
  <c r="AO1139" i="4"/>
  <c r="AL1139" i="4"/>
  <c r="AK1139" i="4"/>
  <c r="AJ1139" i="4"/>
  <c r="AH1139" i="4"/>
  <c r="AG1139" i="4"/>
  <c r="AF1139" i="4"/>
  <c r="AD1139" i="4"/>
  <c r="AC1139" i="4"/>
  <c r="AB1139" i="4"/>
  <c r="Z1139" i="4"/>
  <c r="I1139" i="4"/>
  <c r="BJ1138" i="4"/>
  <c r="BH1138" i="4"/>
  <c r="AD1138" i="4" s="1"/>
  <c r="BF1138" i="4"/>
  <c r="BD1138" i="4"/>
  <c r="AW1138" i="4"/>
  <c r="AP1138" i="4"/>
  <c r="AO1138" i="4"/>
  <c r="AK1138" i="4"/>
  <c r="AJ1138" i="4"/>
  <c r="AH1138" i="4"/>
  <c r="AG1138" i="4"/>
  <c r="AF1138" i="4"/>
  <c r="AC1138" i="4"/>
  <c r="AB1138" i="4"/>
  <c r="Z1138" i="4"/>
  <c r="I1138" i="4"/>
  <c r="AL1138" i="4" s="1"/>
  <c r="BJ1137" i="4"/>
  <c r="BF1137" i="4"/>
  <c r="BD1137" i="4"/>
  <c r="AP1137" i="4"/>
  <c r="AO1137" i="4"/>
  <c r="AK1137" i="4"/>
  <c r="AJ1137" i="4"/>
  <c r="AH1137" i="4"/>
  <c r="AG1137" i="4"/>
  <c r="AF1137" i="4"/>
  <c r="AC1137" i="4"/>
  <c r="AB1137" i="4"/>
  <c r="Z1137" i="4"/>
  <c r="I1137" i="4"/>
  <c r="AL1137" i="4" s="1"/>
  <c r="BJ1136" i="4"/>
  <c r="BF1136" i="4"/>
  <c r="BD1136" i="4"/>
  <c r="AP1136" i="4"/>
  <c r="BI1136" i="4" s="1"/>
  <c r="AE1136" i="4" s="1"/>
  <c r="AO1136" i="4"/>
  <c r="AK1136" i="4"/>
  <c r="AJ1136" i="4"/>
  <c r="AH1136" i="4"/>
  <c r="AG1136" i="4"/>
  <c r="AF1136" i="4"/>
  <c r="AC1136" i="4"/>
  <c r="AB1136" i="4"/>
  <c r="Z1136" i="4"/>
  <c r="I1136" i="4"/>
  <c r="AL1136" i="4" s="1"/>
  <c r="BJ1135" i="4"/>
  <c r="BF1135" i="4"/>
  <c r="BD1135" i="4"/>
  <c r="AP1135" i="4"/>
  <c r="AX1135" i="4" s="1"/>
  <c r="AO1135" i="4"/>
  <c r="BH1135" i="4" s="1"/>
  <c r="AD1135" i="4" s="1"/>
  <c r="AL1135" i="4"/>
  <c r="AK1135" i="4"/>
  <c r="AJ1135" i="4"/>
  <c r="AH1135" i="4"/>
  <c r="AG1135" i="4"/>
  <c r="AF1135" i="4"/>
  <c r="AC1135" i="4"/>
  <c r="AB1135" i="4"/>
  <c r="Z1135" i="4"/>
  <c r="I1135" i="4"/>
  <c r="BJ1134" i="4"/>
  <c r="BI1134" i="4"/>
  <c r="AE1134" i="4" s="1"/>
  <c r="BF1134" i="4"/>
  <c r="BD1134" i="4"/>
  <c r="AX1134" i="4"/>
  <c r="AP1134" i="4"/>
  <c r="AO1134" i="4"/>
  <c r="AW1134" i="4" s="1"/>
  <c r="AL1134" i="4"/>
  <c r="AK1134" i="4"/>
  <c r="AJ1134" i="4"/>
  <c r="AH1134" i="4"/>
  <c r="AG1134" i="4"/>
  <c r="AF1134" i="4"/>
  <c r="AC1134" i="4"/>
  <c r="AB1134" i="4"/>
  <c r="Z1134" i="4"/>
  <c r="I1134" i="4"/>
  <c r="BJ1133" i="4"/>
  <c r="BI1133" i="4"/>
  <c r="AE1133" i="4" s="1"/>
  <c r="BH1133" i="4"/>
  <c r="AD1133" i="4" s="1"/>
  <c r="BF1133" i="4"/>
  <c r="BD1133" i="4"/>
  <c r="AW1133" i="4"/>
  <c r="AP1133" i="4"/>
  <c r="AX1133" i="4" s="1"/>
  <c r="AO1133" i="4"/>
  <c r="AL1133" i="4"/>
  <c r="AK1133" i="4"/>
  <c r="AJ1133" i="4"/>
  <c r="AH1133" i="4"/>
  <c r="AG1133" i="4"/>
  <c r="AF1133" i="4"/>
  <c r="AC1133" i="4"/>
  <c r="AB1133" i="4"/>
  <c r="Z1133" i="4"/>
  <c r="I1133" i="4"/>
  <c r="BJ1132" i="4"/>
  <c r="BI1132" i="4"/>
  <c r="AE1132" i="4" s="1"/>
  <c r="BH1132" i="4"/>
  <c r="AD1132" i="4" s="1"/>
  <c r="BF1132" i="4"/>
  <c r="BD1132" i="4"/>
  <c r="AV1132" i="4"/>
  <c r="AP1132" i="4"/>
  <c r="AX1132" i="4" s="1"/>
  <c r="AO1132" i="4"/>
  <c r="AW1132" i="4" s="1"/>
  <c r="AK1132" i="4"/>
  <c r="AJ1132" i="4"/>
  <c r="AH1132" i="4"/>
  <c r="AG1132" i="4"/>
  <c r="AF1132" i="4"/>
  <c r="AC1132" i="4"/>
  <c r="AB1132" i="4"/>
  <c r="Z1132" i="4"/>
  <c r="I1132" i="4"/>
  <c r="AL1132" i="4" s="1"/>
  <c r="BJ1131" i="4"/>
  <c r="BH1131" i="4"/>
  <c r="AD1131" i="4" s="1"/>
  <c r="BF1131" i="4"/>
  <c r="BD1131" i="4"/>
  <c r="AP1131" i="4"/>
  <c r="AO1131" i="4"/>
  <c r="AW1131" i="4" s="1"/>
  <c r="AK1131" i="4"/>
  <c r="AJ1131" i="4"/>
  <c r="AH1131" i="4"/>
  <c r="AG1131" i="4"/>
  <c r="AF1131" i="4"/>
  <c r="AC1131" i="4"/>
  <c r="AB1131" i="4"/>
  <c r="Z1131" i="4"/>
  <c r="I1131" i="4"/>
  <c r="AL1131" i="4" s="1"/>
  <c r="BJ1130" i="4"/>
  <c r="BI1130" i="4"/>
  <c r="BF1130" i="4"/>
  <c r="BD1130" i="4"/>
  <c r="AX1130" i="4"/>
  <c r="AP1130" i="4"/>
  <c r="AO1130" i="4"/>
  <c r="AK1130" i="4"/>
  <c r="AJ1130" i="4"/>
  <c r="AH1130" i="4"/>
  <c r="AG1130" i="4"/>
  <c r="AF1130" i="4"/>
  <c r="AE1130" i="4"/>
  <c r="AC1130" i="4"/>
  <c r="AB1130" i="4"/>
  <c r="Z1130" i="4"/>
  <c r="I1130" i="4"/>
  <c r="AL1130" i="4" s="1"/>
  <c r="BJ1129" i="4"/>
  <c r="BI1129" i="4"/>
  <c r="BH1129" i="4"/>
  <c r="BF1129" i="4"/>
  <c r="BD1129" i="4"/>
  <c r="AX1129" i="4"/>
  <c r="BC1129" i="4" s="1"/>
  <c r="AW1129" i="4"/>
  <c r="AV1129" i="4" s="1"/>
  <c r="AP1129" i="4"/>
  <c r="AO1129" i="4"/>
  <c r="AL1129" i="4"/>
  <c r="AK1129" i="4"/>
  <c r="AJ1129" i="4"/>
  <c r="AH1129" i="4"/>
  <c r="AG1129" i="4"/>
  <c r="AF1129" i="4"/>
  <c r="AE1129" i="4"/>
  <c r="AD1129" i="4"/>
  <c r="AC1129" i="4"/>
  <c r="AB1129" i="4"/>
  <c r="Z1129" i="4"/>
  <c r="I1129" i="4"/>
  <c r="BJ1128" i="4"/>
  <c r="BI1128" i="4"/>
  <c r="BH1128" i="4"/>
  <c r="BF1128" i="4"/>
  <c r="BD1128" i="4"/>
  <c r="AX1128" i="4"/>
  <c r="AW1128" i="4"/>
  <c r="AP1128" i="4"/>
  <c r="AO1128" i="4"/>
  <c r="AK1128" i="4"/>
  <c r="AJ1128" i="4"/>
  <c r="AH1128" i="4"/>
  <c r="AG1128" i="4"/>
  <c r="AF1128" i="4"/>
  <c r="AE1128" i="4"/>
  <c r="AD1128" i="4"/>
  <c r="AC1128" i="4"/>
  <c r="AB1128" i="4"/>
  <c r="Z1128" i="4"/>
  <c r="I1128" i="4"/>
  <c r="AL1128" i="4" s="1"/>
  <c r="BJ1127" i="4"/>
  <c r="BI1127" i="4"/>
  <c r="AE1127" i="4" s="1"/>
  <c r="BH1127" i="4"/>
  <c r="BF1127" i="4"/>
  <c r="BD1127" i="4"/>
  <c r="AX1127" i="4"/>
  <c r="AW1127" i="4"/>
  <c r="BC1127" i="4" s="1"/>
  <c r="AP1127" i="4"/>
  <c r="AO1127" i="4"/>
  <c r="AL1127" i="4"/>
  <c r="AK1127" i="4"/>
  <c r="AJ1127" i="4"/>
  <c r="AH1127" i="4"/>
  <c r="AG1127" i="4"/>
  <c r="AF1127" i="4"/>
  <c r="AD1127" i="4"/>
  <c r="AC1127" i="4"/>
  <c r="AB1127" i="4"/>
  <c r="Z1127" i="4"/>
  <c r="I1127" i="4"/>
  <c r="BJ1126" i="4"/>
  <c r="BH1126" i="4"/>
  <c r="AD1126" i="4" s="1"/>
  <c r="BF1126" i="4"/>
  <c r="BD1126" i="4"/>
  <c r="AW1126" i="4"/>
  <c r="AP1126" i="4"/>
  <c r="AO1126" i="4"/>
  <c r="AK1126" i="4"/>
  <c r="AJ1126" i="4"/>
  <c r="AH1126" i="4"/>
  <c r="AG1126" i="4"/>
  <c r="AF1126" i="4"/>
  <c r="AC1126" i="4"/>
  <c r="AB1126" i="4"/>
  <c r="Z1126" i="4"/>
  <c r="I1126" i="4"/>
  <c r="AL1126" i="4" s="1"/>
  <c r="BJ1125" i="4"/>
  <c r="BF1125" i="4"/>
  <c r="BD1125" i="4"/>
  <c r="AP1125" i="4"/>
  <c r="AO1125" i="4"/>
  <c r="AK1125" i="4"/>
  <c r="AJ1125" i="4"/>
  <c r="AH1125" i="4"/>
  <c r="AG1125" i="4"/>
  <c r="AF1125" i="4"/>
  <c r="AC1125" i="4"/>
  <c r="AB1125" i="4"/>
  <c r="Z1125" i="4"/>
  <c r="I1125" i="4"/>
  <c r="AL1125" i="4" s="1"/>
  <c r="BJ1124" i="4"/>
  <c r="BF1124" i="4"/>
  <c r="BD1124" i="4"/>
  <c r="AP1124" i="4"/>
  <c r="BI1124" i="4" s="1"/>
  <c r="AE1124" i="4" s="1"/>
  <c r="AO1124" i="4"/>
  <c r="AL1124" i="4"/>
  <c r="AK1124" i="4"/>
  <c r="AJ1124" i="4"/>
  <c r="AH1124" i="4"/>
  <c r="AG1124" i="4"/>
  <c r="AF1124" i="4"/>
  <c r="AC1124" i="4"/>
  <c r="AB1124" i="4"/>
  <c r="Z1124" i="4"/>
  <c r="I1124" i="4"/>
  <c r="BJ1123" i="4"/>
  <c r="BF1123" i="4"/>
  <c r="BD1123" i="4"/>
  <c r="AX1123" i="4"/>
  <c r="AP1123" i="4"/>
  <c r="BI1123" i="4" s="1"/>
  <c r="AO1123" i="4"/>
  <c r="BH1123" i="4" s="1"/>
  <c r="AD1123" i="4" s="1"/>
  <c r="AL1123" i="4"/>
  <c r="AK1123" i="4"/>
  <c r="AJ1123" i="4"/>
  <c r="AH1123" i="4"/>
  <c r="AG1123" i="4"/>
  <c r="AF1123" i="4"/>
  <c r="AE1123" i="4"/>
  <c r="AC1123" i="4"/>
  <c r="AB1123" i="4"/>
  <c r="Z1123" i="4"/>
  <c r="I1123" i="4"/>
  <c r="BJ1122" i="4"/>
  <c r="BI1122" i="4"/>
  <c r="AE1122" i="4" s="1"/>
  <c r="BF1122" i="4"/>
  <c r="BD1122" i="4"/>
  <c r="AX1122" i="4"/>
  <c r="AP1122" i="4"/>
  <c r="AO1122" i="4"/>
  <c r="AW1122" i="4" s="1"/>
  <c r="AL1122" i="4"/>
  <c r="AK1122" i="4"/>
  <c r="AJ1122" i="4"/>
  <c r="AH1122" i="4"/>
  <c r="AG1122" i="4"/>
  <c r="AF1122" i="4"/>
  <c r="AC1122" i="4"/>
  <c r="AB1122" i="4"/>
  <c r="Z1122" i="4"/>
  <c r="I1122" i="4"/>
  <c r="BJ1121" i="4"/>
  <c r="BI1121" i="4"/>
  <c r="AE1121" i="4" s="1"/>
  <c r="BH1121" i="4"/>
  <c r="AD1121" i="4" s="1"/>
  <c r="BF1121" i="4"/>
  <c r="BD1121" i="4"/>
  <c r="AW1121" i="4"/>
  <c r="AP1121" i="4"/>
  <c r="AX1121" i="4" s="1"/>
  <c r="AO1121" i="4"/>
  <c r="AL1121" i="4"/>
  <c r="AK1121" i="4"/>
  <c r="AJ1121" i="4"/>
  <c r="AH1121" i="4"/>
  <c r="AG1121" i="4"/>
  <c r="AF1121" i="4"/>
  <c r="AC1121" i="4"/>
  <c r="AB1121" i="4"/>
  <c r="Z1121" i="4"/>
  <c r="I1121" i="4"/>
  <c r="BJ1120" i="4"/>
  <c r="BI1120" i="4"/>
  <c r="AE1120" i="4" s="1"/>
  <c r="BH1120" i="4"/>
  <c r="AD1120" i="4" s="1"/>
  <c r="BF1120" i="4"/>
  <c r="BD1120" i="4"/>
  <c r="AP1120" i="4"/>
  <c r="AX1120" i="4" s="1"/>
  <c r="AO1120" i="4"/>
  <c r="AW1120" i="4" s="1"/>
  <c r="AK1120" i="4"/>
  <c r="AJ1120" i="4"/>
  <c r="AH1120" i="4"/>
  <c r="AG1120" i="4"/>
  <c r="AF1120" i="4"/>
  <c r="AC1120" i="4"/>
  <c r="AB1120" i="4"/>
  <c r="Z1120" i="4"/>
  <c r="I1120" i="4"/>
  <c r="AL1120" i="4" s="1"/>
  <c r="BJ1119" i="4"/>
  <c r="BH1119" i="4"/>
  <c r="AD1119" i="4" s="1"/>
  <c r="BF1119" i="4"/>
  <c r="BD1119" i="4"/>
  <c r="AP1119" i="4"/>
  <c r="AO1119" i="4"/>
  <c r="AW1119" i="4" s="1"/>
  <c r="AK1119" i="4"/>
  <c r="AJ1119" i="4"/>
  <c r="AH1119" i="4"/>
  <c r="AG1119" i="4"/>
  <c r="AF1119" i="4"/>
  <c r="AC1119" i="4"/>
  <c r="AB1119" i="4"/>
  <c r="Z1119" i="4"/>
  <c r="I1119" i="4"/>
  <c r="AL1119" i="4" s="1"/>
  <c r="BJ1118" i="4"/>
  <c r="BI1118" i="4"/>
  <c r="BF1118" i="4"/>
  <c r="BD1118" i="4"/>
  <c r="AX1118" i="4"/>
  <c r="AP1118" i="4"/>
  <c r="AO1118" i="4"/>
  <c r="AK1118" i="4"/>
  <c r="AJ1118" i="4"/>
  <c r="AH1118" i="4"/>
  <c r="AG1118" i="4"/>
  <c r="AF1118" i="4"/>
  <c r="AE1118" i="4"/>
  <c r="AC1118" i="4"/>
  <c r="AB1118" i="4"/>
  <c r="Z1118" i="4"/>
  <c r="I1118" i="4"/>
  <c r="AL1118" i="4" s="1"/>
  <c r="BJ1117" i="4"/>
  <c r="BI1117" i="4"/>
  <c r="BH1117" i="4"/>
  <c r="BF1117" i="4"/>
  <c r="BD1117" i="4"/>
  <c r="BC1117" i="4"/>
  <c r="AX1117" i="4"/>
  <c r="AW1117" i="4"/>
  <c r="AP1117" i="4"/>
  <c r="AO1117" i="4"/>
  <c r="AL1117" i="4"/>
  <c r="AK1117" i="4"/>
  <c r="AJ1117" i="4"/>
  <c r="AH1117" i="4"/>
  <c r="AG1117" i="4"/>
  <c r="AF1117" i="4"/>
  <c r="AE1117" i="4"/>
  <c r="AD1117" i="4"/>
  <c r="AC1117" i="4"/>
  <c r="AB1117" i="4"/>
  <c r="Z1117" i="4"/>
  <c r="I1117" i="4"/>
  <c r="BJ1116" i="4"/>
  <c r="BI1116" i="4"/>
  <c r="AE1116" i="4" s="1"/>
  <c r="BH1116" i="4"/>
  <c r="BF1116" i="4"/>
  <c r="BD1116" i="4"/>
  <c r="AX1116" i="4"/>
  <c r="AW1116" i="4"/>
  <c r="AP1116" i="4"/>
  <c r="AO1116" i="4"/>
  <c r="AK1116" i="4"/>
  <c r="AJ1116" i="4"/>
  <c r="AH1116" i="4"/>
  <c r="AG1116" i="4"/>
  <c r="AF1116" i="4"/>
  <c r="AD1116" i="4"/>
  <c r="AC1116" i="4"/>
  <c r="AB1116" i="4"/>
  <c r="Z1116" i="4"/>
  <c r="I1116" i="4"/>
  <c r="AL1116" i="4" s="1"/>
  <c r="BJ1115" i="4"/>
  <c r="BI1115" i="4"/>
  <c r="BH1115" i="4"/>
  <c r="BF1115" i="4"/>
  <c r="BD1115" i="4"/>
  <c r="AX1115" i="4"/>
  <c r="AW1115" i="4"/>
  <c r="BC1115" i="4" s="1"/>
  <c r="AV1115" i="4"/>
  <c r="AP1115" i="4"/>
  <c r="AO1115" i="4"/>
  <c r="AL1115" i="4"/>
  <c r="AK1115" i="4"/>
  <c r="AJ1115" i="4"/>
  <c r="AH1115" i="4"/>
  <c r="AG1115" i="4"/>
  <c r="AF1115" i="4"/>
  <c r="AE1115" i="4"/>
  <c r="AD1115" i="4"/>
  <c r="AC1115" i="4"/>
  <c r="AB1115" i="4"/>
  <c r="Z1115" i="4"/>
  <c r="I1115" i="4"/>
  <c r="BJ1114" i="4"/>
  <c r="BF1114" i="4"/>
  <c r="BD1114" i="4"/>
  <c r="AX1114" i="4"/>
  <c r="AW1114" i="4"/>
  <c r="AV1114" i="4" s="1"/>
  <c r="AP1114" i="4"/>
  <c r="BI1114" i="4" s="1"/>
  <c r="AE1114" i="4" s="1"/>
  <c r="AO1114" i="4"/>
  <c r="BH1114" i="4" s="1"/>
  <c r="AD1114" i="4" s="1"/>
  <c r="AK1114" i="4"/>
  <c r="AJ1114" i="4"/>
  <c r="AH1114" i="4"/>
  <c r="AG1114" i="4"/>
  <c r="AF1114" i="4"/>
  <c r="AC1114" i="4"/>
  <c r="AB1114" i="4"/>
  <c r="Z1114" i="4"/>
  <c r="I1114" i="4"/>
  <c r="AL1114" i="4" s="1"/>
  <c r="BJ1113" i="4"/>
  <c r="BF1113" i="4"/>
  <c r="BD1113" i="4"/>
  <c r="AW1113" i="4"/>
  <c r="AP1113" i="4"/>
  <c r="AO1113" i="4"/>
  <c r="BH1113" i="4" s="1"/>
  <c r="AD1113" i="4" s="1"/>
  <c r="AK1113" i="4"/>
  <c r="AJ1113" i="4"/>
  <c r="AH1113" i="4"/>
  <c r="AG1113" i="4"/>
  <c r="AF1113" i="4"/>
  <c r="AC1113" i="4"/>
  <c r="AB1113" i="4"/>
  <c r="Z1113" i="4"/>
  <c r="I1113" i="4"/>
  <c r="AL1113" i="4" s="1"/>
  <c r="BJ1112" i="4"/>
  <c r="BF1112" i="4"/>
  <c r="BD1112" i="4"/>
  <c r="AP1112" i="4"/>
  <c r="BI1112" i="4" s="1"/>
  <c r="AO1112" i="4"/>
  <c r="AK1112" i="4"/>
  <c r="AJ1112" i="4"/>
  <c r="AH1112" i="4"/>
  <c r="AG1112" i="4"/>
  <c r="AF1112" i="4"/>
  <c r="AE1112" i="4"/>
  <c r="AC1112" i="4"/>
  <c r="AB1112" i="4"/>
  <c r="Z1112" i="4"/>
  <c r="I1112" i="4"/>
  <c r="AL1112" i="4" s="1"/>
  <c r="BJ1111" i="4"/>
  <c r="BI1111" i="4"/>
  <c r="AE1111" i="4" s="1"/>
  <c r="BF1111" i="4"/>
  <c r="BD1111" i="4"/>
  <c r="AW1111" i="4"/>
  <c r="AP1111" i="4"/>
  <c r="AX1111" i="4" s="1"/>
  <c r="AO1111" i="4"/>
  <c r="BH1111" i="4" s="1"/>
  <c r="AD1111" i="4" s="1"/>
  <c r="AL1111" i="4"/>
  <c r="AK1111" i="4"/>
  <c r="AJ1111" i="4"/>
  <c r="AH1111" i="4"/>
  <c r="AG1111" i="4"/>
  <c r="AF1111" i="4"/>
  <c r="AC1111" i="4"/>
  <c r="AB1111" i="4"/>
  <c r="Z1111" i="4"/>
  <c r="I1111" i="4"/>
  <c r="BJ1110" i="4"/>
  <c r="BI1110" i="4"/>
  <c r="AE1110" i="4" s="1"/>
  <c r="BF1110" i="4"/>
  <c r="BD1110" i="4"/>
  <c r="AX1110" i="4"/>
  <c r="AP1110" i="4"/>
  <c r="AO1110" i="4"/>
  <c r="BH1110" i="4" s="1"/>
  <c r="AD1110" i="4" s="1"/>
  <c r="AL1110" i="4"/>
  <c r="AK1110" i="4"/>
  <c r="AJ1110" i="4"/>
  <c r="AH1110" i="4"/>
  <c r="AG1110" i="4"/>
  <c r="AF1110" i="4"/>
  <c r="AC1110" i="4"/>
  <c r="AB1110" i="4"/>
  <c r="Z1110" i="4"/>
  <c r="I1110" i="4"/>
  <c r="BJ1109" i="4"/>
  <c r="BH1109" i="4"/>
  <c r="AD1109" i="4" s="1"/>
  <c r="BF1109" i="4"/>
  <c r="BD1109" i="4"/>
  <c r="AW1109" i="4"/>
  <c r="AP1109" i="4"/>
  <c r="AO1109" i="4"/>
  <c r="AL1109" i="4"/>
  <c r="AK1109" i="4"/>
  <c r="AJ1109" i="4"/>
  <c r="AH1109" i="4"/>
  <c r="AG1109" i="4"/>
  <c r="AF1109" i="4"/>
  <c r="AC1109" i="4"/>
  <c r="AB1109" i="4"/>
  <c r="Z1109" i="4"/>
  <c r="I1109" i="4"/>
  <c r="BJ1108" i="4"/>
  <c r="BI1108" i="4"/>
  <c r="AE1108" i="4" s="1"/>
  <c r="BH1108" i="4"/>
  <c r="AD1108" i="4" s="1"/>
  <c r="BF1108" i="4"/>
  <c r="BD1108" i="4"/>
  <c r="AV1108" i="4"/>
  <c r="AP1108" i="4"/>
  <c r="AX1108" i="4" s="1"/>
  <c r="AO1108" i="4"/>
  <c r="AW1108" i="4" s="1"/>
  <c r="AK1108" i="4"/>
  <c r="AJ1108" i="4"/>
  <c r="AH1108" i="4"/>
  <c r="AG1108" i="4"/>
  <c r="AF1108" i="4"/>
  <c r="AC1108" i="4"/>
  <c r="AB1108" i="4"/>
  <c r="Z1108" i="4"/>
  <c r="I1108" i="4"/>
  <c r="AL1108" i="4" s="1"/>
  <c r="BJ1107" i="4"/>
  <c r="BI1107" i="4"/>
  <c r="AE1107" i="4" s="1"/>
  <c r="BF1107" i="4"/>
  <c r="BD1107" i="4"/>
  <c r="AP1107" i="4"/>
  <c r="AX1107" i="4" s="1"/>
  <c r="AO1107" i="4"/>
  <c r="AL1107" i="4"/>
  <c r="AK1107" i="4"/>
  <c r="AJ1107" i="4"/>
  <c r="AH1107" i="4"/>
  <c r="AG1107" i="4"/>
  <c r="AF1107" i="4"/>
  <c r="AC1107" i="4"/>
  <c r="AB1107" i="4"/>
  <c r="Z1107" i="4"/>
  <c r="I1107" i="4"/>
  <c r="BJ1106" i="4"/>
  <c r="BI1106" i="4"/>
  <c r="BH1106" i="4"/>
  <c r="AD1106" i="4" s="1"/>
  <c r="BF1106" i="4"/>
  <c r="BD1106" i="4"/>
  <c r="BC1106" i="4"/>
  <c r="AX1106" i="4"/>
  <c r="AP1106" i="4"/>
  <c r="AO1106" i="4"/>
  <c r="AW1106" i="4" s="1"/>
  <c r="AL1106" i="4"/>
  <c r="AK1106" i="4"/>
  <c r="AJ1106" i="4"/>
  <c r="AH1106" i="4"/>
  <c r="AG1106" i="4"/>
  <c r="AF1106" i="4"/>
  <c r="AE1106" i="4"/>
  <c r="AC1106" i="4"/>
  <c r="AB1106" i="4"/>
  <c r="Z1106" i="4"/>
  <c r="I1106" i="4"/>
  <c r="BJ1105" i="4"/>
  <c r="BI1105" i="4"/>
  <c r="BH1105" i="4"/>
  <c r="BF1105" i="4"/>
  <c r="BD1105" i="4"/>
  <c r="BC1105" i="4"/>
  <c r="AX1105" i="4"/>
  <c r="AW1105" i="4"/>
  <c r="AV1105" i="4" s="1"/>
  <c r="AP1105" i="4"/>
  <c r="AO1105" i="4"/>
  <c r="AL1105" i="4"/>
  <c r="AK1105" i="4"/>
  <c r="AJ1105" i="4"/>
  <c r="AH1105" i="4"/>
  <c r="AG1105" i="4"/>
  <c r="AF1105" i="4"/>
  <c r="AE1105" i="4"/>
  <c r="AD1105" i="4"/>
  <c r="AC1105" i="4"/>
  <c r="AB1105" i="4"/>
  <c r="Z1105" i="4"/>
  <c r="I1105" i="4"/>
  <c r="BJ1104" i="4"/>
  <c r="BI1104" i="4"/>
  <c r="BH1104" i="4"/>
  <c r="BF1104" i="4"/>
  <c r="BD1104" i="4"/>
  <c r="BC1104" i="4"/>
  <c r="AX1104" i="4"/>
  <c r="AW1104" i="4"/>
  <c r="AV1104" i="4" s="1"/>
  <c r="AP1104" i="4"/>
  <c r="AO1104" i="4"/>
  <c r="AK1104" i="4"/>
  <c r="AJ1104" i="4"/>
  <c r="AH1104" i="4"/>
  <c r="AG1104" i="4"/>
  <c r="AF1104" i="4"/>
  <c r="AE1104" i="4"/>
  <c r="AD1104" i="4"/>
  <c r="AC1104" i="4"/>
  <c r="AB1104" i="4"/>
  <c r="Z1104" i="4"/>
  <c r="I1104" i="4"/>
  <c r="AL1104" i="4" s="1"/>
  <c r="BJ1103" i="4"/>
  <c r="BI1103" i="4"/>
  <c r="AE1103" i="4" s="1"/>
  <c r="BH1103" i="4"/>
  <c r="BF1103" i="4"/>
  <c r="BD1103" i="4"/>
  <c r="AX1103" i="4"/>
  <c r="AW1103" i="4"/>
  <c r="BC1103" i="4" s="1"/>
  <c r="AV1103" i="4"/>
  <c r="AP1103" i="4"/>
  <c r="AO1103" i="4"/>
  <c r="AL1103" i="4"/>
  <c r="AK1103" i="4"/>
  <c r="AJ1103" i="4"/>
  <c r="AH1103" i="4"/>
  <c r="AG1103" i="4"/>
  <c r="AF1103" i="4"/>
  <c r="AD1103" i="4"/>
  <c r="AC1103" i="4"/>
  <c r="AB1103" i="4"/>
  <c r="Z1103" i="4"/>
  <c r="I1103" i="4"/>
  <c r="BJ1102" i="4"/>
  <c r="BF1102" i="4"/>
  <c r="BD1102" i="4"/>
  <c r="AP1102" i="4"/>
  <c r="AO1102" i="4"/>
  <c r="AK1102" i="4"/>
  <c r="AJ1102" i="4"/>
  <c r="AH1102" i="4"/>
  <c r="AG1102" i="4"/>
  <c r="AF1102" i="4"/>
  <c r="AC1102" i="4"/>
  <c r="AB1102" i="4"/>
  <c r="Z1102" i="4"/>
  <c r="I1102" i="4"/>
  <c r="AL1102" i="4" s="1"/>
  <c r="BJ1101" i="4"/>
  <c r="BF1101" i="4"/>
  <c r="BD1101" i="4"/>
  <c r="AX1101" i="4"/>
  <c r="AP1101" i="4"/>
  <c r="BI1101" i="4" s="1"/>
  <c r="AE1101" i="4" s="1"/>
  <c r="AO1101" i="4"/>
  <c r="BH1101" i="4" s="1"/>
  <c r="AK1101" i="4"/>
  <c r="AJ1101" i="4"/>
  <c r="AH1101" i="4"/>
  <c r="AG1101" i="4"/>
  <c r="AF1101" i="4"/>
  <c r="AD1101" i="4"/>
  <c r="AC1101" i="4"/>
  <c r="AB1101" i="4"/>
  <c r="Z1101" i="4"/>
  <c r="I1101" i="4"/>
  <c r="AL1101" i="4" s="1"/>
  <c r="BJ1100" i="4"/>
  <c r="BF1100" i="4"/>
  <c r="BD1100" i="4"/>
  <c r="AP1100" i="4"/>
  <c r="BI1100" i="4" s="1"/>
  <c r="AO1100" i="4"/>
  <c r="BH1100" i="4" s="1"/>
  <c r="AD1100" i="4" s="1"/>
  <c r="AK1100" i="4"/>
  <c r="AJ1100" i="4"/>
  <c r="AH1100" i="4"/>
  <c r="AG1100" i="4"/>
  <c r="AF1100" i="4"/>
  <c r="AE1100" i="4"/>
  <c r="AC1100" i="4"/>
  <c r="AB1100" i="4"/>
  <c r="Z1100" i="4"/>
  <c r="I1100" i="4"/>
  <c r="AL1100" i="4" s="1"/>
  <c r="BJ1099" i="4"/>
  <c r="BI1099" i="4"/>
  <c r="BF1099" i="4"/>
  <c r="BD1099" i="4"/>
  <c r="AX1099" i="4"/>
  <c r="AW1099" i="4"/>
  <c r="AP1099" i="4"/>
  <c r="AO1099" i="4"/>
  <c r="BH1099" i="4" s="1"/>
  <c r="AL1099" i="4"/>
  <c r="AK1099" i="4"/>
  <c r="AJ1099" i="4"/>
  <c r="AH1099" i="4"/>
  <c r="AG1099" i="4"/>
  <c r="AF1099" i="4"/>
  <c r="AE1099" i="4"/>
  <c r="AD1099" i="4"/>
  <c r="AC1099" i="4"/>
  <c r="AB1099" i="4"/>
  <c r="Z1099" i="4"/>
  <c r="I1099" i="4"/>
  <c r="BJ1098" i="4"/>
  <c r="BF1098" i="4"/>
  <c r="BD1098" i="4"/>
  <c r="AW1098" i="4"/>
  <c r="AP1098" i="4"/>
  <c r="AO1098" i="4"/>
  <c r="BH1098" i="4" s="1"/>
  <c r="AD1098" i="4" s="1"/>
  <c r="AK1098" i="4"/>
  <c r="AJ1098" i="4"/>
  <c r="AH1098" i="4"/>
  <c r="AG1098" i="4"/>
  <c r="AF1098" i="4"/>
  <c r="AC1098" i="4"/>
  <c r="AB1098" i="4"/>
  <c r="Z1098" i="4"/>
  <c r="I1098" i="4"/>
  <c r="AL1098" i="4" s="1"/>
  <c r="BJ1097" i="4"/>
  <c r="BF1097" i="4"/>
  <c r="BD1097" i="4"/>
  <c r="AP1097" i="4"/>
  <c r="AX1097" i="4" s="1"/>
  <c r="AO1097" i="4"/>
  <c r="BH1097" i="4" s="1"/>
  <c r="AD1097" i="4" s="1"/>
  <c r="AL1097" i="4"/>
  <c r="AK1097" i="4"/>
  <c r="AJ1097" i="4"/>
  <c r="AH1097" i="4"/>
  <c r="AG1097" i="4"/>
  <c r="AF1097" i="4"/>
  <c r="AC1097" i="4"/>
  <c r="AB1097" i="4"/>
  <c r="Z1097" i="4"/>
  <c r="I1097" i="4"/>
  <c r="BJ1096" i="4"/>
  <c r="BI1096" i="4"/>
  <c r="AE1096" i="4" s="1"/>
  <c r="BH1096" i="4"/>
  <c r="AD1096" i="4" s="1"/>
  <c r="BF1096" i="4"/>
  <c r="BD1096" i="4"/>
  <c r="AV1096" i="4"/>
  <c r="AP1096" i="4"/>
  <c r="AX1096" i="4" s="1"/>
  <c r="AO1096" i="4"/>
  <c r="AW1096" i="4" s="1"/>
  <c r="BC1096" i="4" s="1"/>
  <c r="AL1096" i="4"/>
  <c r="AK1096" i="4"/>
  <c r="AJ1096" i="4"/>
  <c r="AH1096" i="4"/>
  <c r="AG1096" i="4"/>
  <c r="AF1096" i="4"/>
  <c r="AC1096" i="4"/>
  <c r="AB1096" i="4"/>
  <c r="Z1096" i="4"/>
  <c r="I1096" i="4"/>
  <c r="BJ1095" i="4"/>
  <c r="BH1095" i="4"/>
  <c r="AD1095" i="4" s="1"/>
  <c r="BF1095" i="4"/>
  <c r="BD1095" i="4"/>
  <c r="AP1095" i="4"/>
  <c r="AX1095" i="4" s="1"/>
  <c r="AO1095" i="4"/>
  <c r="AW1095" i="4" s="1"/>
  <c r="AK1095" i="4"/>
  <c r="AJ1095" i="4"/>
  <c r="AH1095" i="4"/>
  <c r="AG1095" i="4"/>
  <c r="AF1095" i="4"/>
  <c r="AC1095" i="4"/>
  <c r="AB1095" i="4"/>
  <c r="Z1095" i="4"/>
  <c r="I1095" i="4"/>
  <c r="AL1095" i="4" s="1"/>
  <c r="BJ1094" i="4"/>
  <c r="BI1094" i="4"/>
  <c r="BH1094" i="4"/>
  <c r="AD1094" i="4" s="1"/>
  <c r="BF1094" i="4"/>
  <c r="BD1094" i="4"/>
  <c r="AX1094" i="4"/>
  <c r="AP1094" i="4"/>
  <c r="AO1094" i="4"/>
  <c r="AW1094" i="4" s="1"/>
  <c r="AV1094" i="4" s="1"/>
  <c r="AK1094" i="4"/>
  <c r="AJ1094" i="4"/>
  <c r="AH1094" i="4"/>
  <c r="AG1094" i="4"/>
  <c r="AF1094" i="4"/>
  <c r="AE1094" i="4"/>
  <c r="AC1094" i="4"/>
  <c r="AB1094" i="4"/>
  <c r="Z1094" i="4"/>
  <c r="I1094" i="4"/>
  <c r="AL1094" i="4" s="1"/>
  <c r="BJ1093" i="4"/>
  <c r="BI1093" i="4"/>
  <c r="BH1093" i="4"/>
  <c r="BF1093" i="4"/>
  <c r="BD1093" i="4"/>
  <c r="AX1093" i="4"/>
  <c r="BC1093" i="4" s="1"/>
  <c r="AW1093" i="4"/>
  <c r="AP1093" i="4"/>
  <c r="AO1093" i="4"/>
  <c r="AL1093" i="4"/>
  <c r="AK1093" i="4"/>
  <c r="AJ1093" i="4"/>
  <c r="AH1093" i="4"/>
  <c r="AG1093" i="4"/>
  <c r="AF1093" i="4"/>
  <c r="AE1093" i="4"/>
  <c r="AD1093" i="4"/>
  <c r="AC1093" i="4"/>
  <c r="AB1093" i="4"/>
  <c r="Z1093" i="4"/>
  <c r="I1093" i="4"/>
  <c r="BJ1092" i="4"/>
  <c r="BI1092" i="4"/>
  <c r="BH1092" i="4"/>
  <c r="BF1092" i="4"/>
  <c r="BD1092" i="4"/>
  <c r="AX1092" i="4"/>
  <c r="AW1092" i="4"/>
  <c r="AP1092" i="4"/>
  <c r="AO1092" i="4"/>
  <c r="AK1092" i="4"/>
  <c r="AJ1092" i="4"/>
  <c r="AH1092" i="4"/>
  <c r="AG1092" i="4"/>
  <c r="AF1092" i="4"/>
  <c r="AE1092" i="4"/>
  <c r="AD1092" i="4"/>
  <c r="AC1092" i="4"/>
  <c r="AB1092" i="4"/>
  <c r="Z1092" i="4"/>
  <c r="I1092" i="4"/>
  <c r="AL1092" i="4" s="1"/>
  <c r="BJ1091" i="4"/>
  <c r="BH1091" i="4"/>
  <c r="AD1091" i="4" s="1"/>
  <c r="BF1091" i="4"/>
  <c r="BD1091" i="4"/>
  <c r="AW1091" i="4"/>
  <c r="AP1091" i="4"/>
  <c r="AO1091" i="4"/>
  <c r="AL1091" i="4"/>
  <c r="AK1091" i="4"/>
  <c r="AJ1091" i="4"/>
  <c r="AH1091" i="4"/>
  <c r="AG1091" i="4"/>
  <c r="AF1091" i="4"/>
  <c r="AC1091" i="4"/>
  <c r="AB1091" i="4"/>
  <c r="Z1091" i="4"/>
  <c r="I1091" i="4"/>
  <c r="BJ1090" i="4"/>
  <c r="BF1090" i="4"/>
  <c r="BD1090" i="4"/>
  <c r="AP1090" i="4"/>
  <c r="BI1090" i="4" s="1"/>
  <c r="AO1090" i="4"/>
  <c r="BH1090" i="4" s="1"/>
  <c r="AD1090" i="4" s="1"/>
  <c r="AK1090" i="4"/>
  <c r="AJ1090" i="4"/>
  <c r="AH1090" i="4"/>
  <c r="AG1090" i="4"/>
  <c r="AF1090" i="4"/>
  <c r="AE1090" i="4"/>
  <c r="AC1090" i="4"/>
  <c r="AB1090" i="4"/>
  <c r="Z1090" i="4"/>
  <c r="I1090" i="4"/>
  <c r="AL1090" i="4" s="1"/>
  <c r="BJ1089" i="4"/>
  <c r="BF1089" i="4"/>
  <c r="BD1089" i="4"/>
  <c r="AP1089" i="4"/>
  <c r="BI1089" i="4" s="1"/>
  <c r="AE1089" i="4" s="1"/>
  <c r="AO1089" i="4"/>
  <c r="BH1089" i="4" s="1"/>
  <c r="AD1089" i="4" s="1"/>
  <c r="AL1089" i="4"/>
  <c r="AK1089" i="4"/>
  <c r="AJ1089" i="4"/>
  <c r="AH1089" i="4"/>
  <c r="AG1089" i="4"/>
  <c r="AF1089" i="4"/>
  <c r="AC1089" i="4"/>
  <c r="AB1089" i="4"/>
  <c r="Z1089" i="4"/>
  <c r="I1089" i="4"/>
  <c r="BJ1088" i="4"/>
  <c r="BF1088" i="4"/>
  <c r="BD1088" i="4"/>
  <c r="AX1088" i="4"/>
  <c r="AW1088" i="4"/>
  <c r="AP1088" i="4"/>
  <c r="BI1088" i="4" s="1"/>
  <c r="AO1088" i="4"/>
  <c r="BH1088" i="4" s="1"/>
  <c r="AL1088" i="4"/>
  <c r="AK1088" i="4"/>
  <c r="AJ1088" i="4"/>
  <c r="AH1088" i="4"/>
  <c r="AG1088" i="4"/>
  <c r="AF1088" i="4"/>
  <c r="AE1088" i="4"/>
  <c r="AD1088" i="4"/>
  <c r="AC1088" i="4"/>
  <c r="AB1088" i="4"/>
  <c r="Z1088" i="4"/>
  <c r="I1088" i="4"/>
  <c r="BJ1087" i="4"/>
  <c r="BF1087" i="4"/>
  <c r="BD1087" i="4"/>
  <c r="AW1087" i="4"/>
  <c r="AP1087" i="4"/>
  <c r="AO1087" i="4"/>
  <c r="BH1087" i="4" s="1"/>
  <c r="AK1087" i="4"/>
  <c r="AJ1087" i="4"/>
  <c r="AH1087" i="4"/>
  <c r="AG1087" i="4"/>
  <c r="AF1087" i="4"/>
  <c r="AD1087" i="4"/>
  <c r="AC1087" i="4"/>
  <c r="AB1087" i="4"/>
  <c r="Z1087" i="4"/>
  <c r="I1087" i="4"/>
  <c r="AL1087" i="4" s="1"/>
  <c r="BJ1086" i="4"/>
  <c r="BF1086" i="4"/>
  <c r="BD1086" i="4"/>
  <c r="AP1086" i="4"/>
  <c r="BI1086" i="4" s="1"/>
  <c r="AE1086" i="4" s="1"/>
  <c r="AO1086" i="4"/>
  <c r="AL1086" i="4"/>
  <c r="AK1086" i="4"/>
  <c r="AJ1086" i="4"/>
  <c r="AH1086" i="4"/>
  <c r="AG1086" i="4"/>
  <c r="AF1086" i="4"/>
  <c r="AC1086" i="4"/>
  <c r="AB1086" i="4"/>
  <c r="Z1086" i="4"/>
  <c r="I1086" i="4"/>
  <c r="BJ1085" i="4"/>
  <c r="BI1085" i="4"/>
  <c r="AE1085" i="4" s="1"/>
  <c r="BH1085" i="4"/>
  <c r="AD1085" i="4" s="1"/>
  <c r="BF1085" i="4"/>
  <c r="BD1085" i="4"/>
  <c r="AW1085" i="4"/>
  <c r="BC1085" i="4" s="1"/>
  <c r="AP1085" i="4"/>
  <c r="AX1085" i="4" s="1"/>
  <c r="AO1085" i="4"/>
  <c r="AK1085" i="4"/>
  <c r="AJ1085" i="4"/>
  <c r="AH1085" i="4"/>
  <c r="AG1085" i="4"/>
  <c r="AF1085" i="4"/>
  <c r="AC1085" i="4"/>
  <c r="AB1085" i="4"/>
  <c r="Z1085" i="4"/>
  <c r="I1085" i="4"/>
  <c r="AL1085" i="4" s="1"/>
  <c r="BJ1084" i="4"/>
  <c r="BH1084" i="4"/>
  <c r="AD1084" i="4" s="1"/>
  <c r="BF1084" i="4"/>
  <c r="BD1084" i="4"/>
  <c r="AP1084" i="4"/>
  <c r="AO1084" i="4"/>
  <c r="AW1084" i="4" s="1"/>
  <c r="AK1084" i="4"/>
  <c r="AJ1084" i="4"/>
  <c r="AH1084" i="4"/>
  <c r="AG1084" i="4"/>
  <c r="AF1084" i="4"/>
  <c r="AC1084" i="4"/>
  <c r="AB1084" i="4"/>
  <c r="Z1084" i="4"/>
  <c r="I1084" i="4"/>
  <c r="BJ1083" i="4"/>
  <c r="BI1083" i="4"/>
  <c r="AE1083" i="4" s="1"/>
  <c r="BF1083" i="4"/>
  <c r="BD1083" i="4"/>
  <c r="BC1083" i="4"/>
  <c r="AP1083" i="4"/>
  <c r="AX1083" i="4" s="1"/>
  <c r="AO1083" i="4"/>
  <c r="AW1083" i="4" s="1"/>
  <c r="AV1083" i="4" s="1"/>
  <c r="AL1083" i="4"/>
  <c r="AK1083" i="4"/>
  <c r="AJ1083" i="4"/>
  <c r="AH1083" i="4"/>
  <c r="AG1083" i="4"/>
  <c r="AF1083" i="4"/>
  <c r="AC1083" i="4"/>
  <c r="AB1083" i="4"/>
  <c r="Z1083" i="4"/>
  <c r="I1083" i="4"/>
  <c r="BJ1082" i="4"/>
  <c r="BI1082" i="4"/>
  <c r="BH1082" i="4"/>
  <c r="BF1082" i="4"/>
  <c r="BD1082" i="4"/>
  <c r="BC1082" i="4"/>
  <c r="AX1082" i="4"/>
  <c r="AP1082" i="4"/>
  <c r="AO1082" i="4"/>
  <c r="AW1082" i="4" s="1"/>
  <c r="AL1082" i="4"/>
  <c r="AK1082" i="4"/>
  <c r="AJ1082" i="4"/>
  <c r="AH1082" i="4"/>
  <c r="AG1082" i="4"/>
  <c r="AF1082" i="4"/>
  <c r="AE1082" i="4"/>
  <c r="AD1082" i="4"/>
  <c r="AC1082" i="4"/>
  <c r="AB1082" i="4"/>
  <c r="Z1082" i="4"/>
  <c r="I1082" i="4"/>
  <c r="BJ1081" i="4"/>
  <c r="BI1081" i="4"/>
  <c r="AE1081" i="4" s="1"/>
  <c r="BH1081" i="4"/>
  <c r="BF1081" i="4"/>
  <c r="BD1081" i="4"/>
  <c r="AX1081" i="4"/>
  <c r="AW1081" i="4"/>
  <c r="AP1081" i="4"/>
  <c r="AO1081" i="4"/>
  <c r="AL1081" i="4"/>
  <c r="AK1081" i="4"/>
  <c r="AJ1081" i="4"/>
  <c r="AH1081" i="4"/>
  <c r="AG1081" i="4"/>
  <c r="AF1081" i="4"/>
  <c r="AD1081" i="4"/>
  <c r="AC1081" i="4"/>
  <c r="AB1081" i="4"/>
  <c r="Z1081" i="4"/>
  <c r="I1081" i="4"/>
  <c r="BU1076" i="4"/>
  <c r="BJ1076" i="4"/>
  <c r="BH1076" i="4"/>
  <c r="BF1076" i="4"/>
  <c r="BD1076" i="4"/>
  <c r="AP1076" i="4"/>
  <c r="BI1076" i="4" s="1"/>
  <c r="AO1076" i="4"/>
  <c r="AW1076" i="4" s="1"/>
  <c r="AK1076" i="4"/>
  <c r="AJ1076" i="4"/>
  <c r="AH1076" i="4"/>
  <c r="AG1076" i="4"/>
  <c r="AF1076" i="4"/>
  <c r="AE1076" i="4"/>
  <c r="AD1076" i="4"/>
  <c r="AC1076" i="4"/>
  <c r="AB1076" i="4"/>
  <c r="Z1076" i="4"/>
  <c r="I1076" i="4"/>
  <c r="AL1076" i="4" s="1"/>
  <c r="AU1075" i="4" s="1"/>
  <c r="AT1075" i="4"/>
  <c r="AS1075" i="4"/>
  <c r="I1075" i="4"/>
  <c r="BP1073" i="4"/>
  <c r="BJ1073" i="4"/>
  <c r="BH1073" i="4"/>
  <c r="BF1073" i="4"/>
  <c r="BD1073" i="4"/>
  <c r="AX1073" i="4"/>
  <c r="AW1073" i="4"/>
  <c r="BC1073" i="4" s="1"/>
  <c r="AP1073" i="4"/>
  <c r="BI1073" i="4" s="1"/>
  <c r="AO1073" i="4"/>
  <c r="AK1073" i="4"/>
  <c r="AT1072" i="4" s="1"/>
  <c r="AJ1073" i="4"/>
  <c r="AH1073" i="4"/>
  <c r="AG1073" i="4"/>
  <c r="AF1073" i="4"/>
  <c r="AE1073" i="4"/>
  <c r="AD1073" i="4"/>
  <c r="AC1073" i="4"/>
  <c r="AB1073" i="4"/>
  <c r="Z1073" i="4"/>
  <c r="I1073" i="4"/>
  <c r="AL1073" i="4" s="1"/>
  <c r="AU1072" i="4" s="1"/>
  <c r="AS1072" i="4"/>
  <c r="I1072" i="4"/>
  <c r="BM1070" i="4"/>
  <c r="BJ1070" i="4"/>
  <c r="BI1070" i="4"/>
  <c r="BF1070" i="4"/>
  <c r="BD1070" i="4"/>
  <c r="AX1070" i="4"/>
  <c r="AP1070" i="4"/>
  <c r="AO1070" i="4"/>
  <c r="AW1070" i="4" s="1"/>
  <c r="BC1070" i="4" s="1"/>
  <c r="AK1070" i="4"/>
  <c r="AJ1070" i="4"/>
  <c r="AH1070" i="4"/>
  <c r="AG1070" i="4"/>
  <c r="AF1070" i="4"/>
  <c r="AE1070" i="4"/>
  <c r="AD1070" i="4"/>
  <c r="AC1070" i="4"/>
  <c r="AB1070" i="4"/>
  <c r="Z1070" i="4"/>
  <c r="I1070" i="4"/>
  <c r="AL1070" i="4" s="1"/>
  <c r="AU1069" i="4" s="1"/>
  <c r="AT1069" i="4"/>
  <c r="AS1069" i="4"/>
  <c r="BJ1066" i="4"/>
  <c r="BF1066" i="4"/>
  <c r="BD1066" i="4"/>
  <c r="AP1066" i="4"/>
  <c r="AO1066" i="4"/>
  <c r="AK1066" i="4"/>
  <c r="AJ1066" i="4"/>
  <c r="AH1066" i="4"/>
  <c r="AG1066" i="4"/>
  <c r="AF1066" i="4"/>
  <c r="AE1066" i="4"/>
  <c r="AD1066" i="4"/>
  <c r="AC1066" i="4"/>
  <c r="AB1066" i="4"/>
  <c r="Z1066" i="4"/>
  <c r="I1066" i="4"/>
  <c r="AL1066" i="4" s="1"/>
  <c r="BJ1064" i="4"/>
  <c r="AH1064" i="4" s="1"/>
  <c r="BF1064" i="4"/>
  <c r="BD1064" i="4"/>
  <c r="AP1064" i="4"/>
  <c r="BI1064" i="4" s="1"/>
  <c r="AO1064" i="4"/>
  <c r="AK1064" i="4"/>
  <c r="AJ1064" i="4"/>
  <c r="AG1064" i="4"/>
  <c r="AF1064" i="4"/>
  <c r="AE1064" i="4"/>
  <c r="AD1064" i="4"/>
  <c r="AC1064" i="4"/>
  <c r="AB1064" i="4"/>
  <c r="Z1064" i="4"/>
  <c r="I1064" i="4"/>
  <c r="AL1064" i="4" s="1"/>
  <c r="BJ1063" i="4"/>
  <c r="AH1063" i="4" s="1"/>
  <c r="BI1063" i="4"/>
  <c r="BF1063" i="4"/>
  <c r="BD1063" i="4"/>
  <c r="AX1063" i="4"/>
  <c r="AP1063" i="4"/>
  <c r="AO1063" i="4"/>
  <c r="BH1063" i="4" s="1"/>
  <c r="AK1063" i="4"/>
  <c r="AJ1063" i="4"/>
  <c r="AG1063" i="4"/>
  <c r="AF1063" i="4"/>
  <c r="AE1063" i="4"/>
  <c r="AD1063" i="4"/>
  <c r="AC1063" i="4"/>
  <c r="AB1063" i="4"/>
  <c r="Z1063" i="4"/>
  <c r="I1063" i="4"/>
  <c r="AL1063" i="4" s="1"/>
  <c r="BJ1061" i="4"/>
  <c r="BI1061" i="4"/>
  <c r="BH1061" i="4"/>
  <c r="BF1061" i="4"/>
  <c r="BD1061" i="4"/>
  <c r="AW1061" i="4"/>
  <c r="BC1061" i="4" s="1"/>
  <c r="AP1061" i="4"/>
  <c r="AX1061" i="4" s="1"/>
  <c r="AO1061" i="4"/>
  <c r="AL1061" i="4"/>
  <c r="AK1061" i="4"/>
  <c r="AJ1061" i="4"/>
  <c r="AH1061" i="4"/>
  <c r="AG1061" i="4"/>
  <c r="AF1061" i="4"/>
  <c r="AE1061" i="4"/>
  <c r="AD1061" i="4"/>
  <c r="AC1061" i="4"/>
  <c r="AB1061" i="4"/>
  <c r="Z1061" i="4"/>
  <c r="I1061" i="4"/>
  <c r="BJ1059" i="4"/>
  <c r="BI1059" i="4"/>
  <c r="BH1059" i="4"/>
  <c r="BF1059" i="4"/>
  <c r="BD1059" i="4"/>
  <c r="AP1059" i="4"/>
  <c r="AX1059" i="4" s="1"/>
  <c r="AO1059" i="4"/>
  <c r="AW1059" i="4" s="1"/>
  <c r="AL1059" i="4"/>
  <c r="AK1059" i="4"/>
  <c r="AJ1059" i="4"/>
  <c r="AH1059" i="4"/>
  <c r="AG1059" i="4"/>
  <c r="AF1059" i="4"/>
  <c r="AE1059" i="4"/>
  <c r="AD1059" i="4"/>
  <c r="AC1059" i="4"/>
  <c r="AB1059" i="4"/>
  <c r="Z1059" i="4"/>
  <c r="I1059" i="4"/>
  <c r="BJ1057" i="4"/>
  <c r="BH1057" i="4"/>
  <c r="BF1057" i="4"/>
  <c r="BD1057" i="4"/>
  <c r="AP1057" i="4"/>
  <c r="BI1057" i="4" s="1"/>
  <c r="AO1057" i="4"/>
  <c r="AW1057" i="4" s="1"/>
  <c r="AK1057" i="4"/>
  <c r="AJ1057" i="4"/>
  <c r="AH1057" i="4"/>
  <c r="AG1057" i="4"/>
  <c r="AF1057" i="4"/>
  <c r="AE1057" i="4"/>
  <c r="AD1057" i="4"/>
  <c r="AC1057" i="4"/>
  <c r="AB1057" i="4"/>
  <c r="Z1057" i="4"/>
  <c r="I1057" i="4"/>
  <c r="AL1057" i="4" s="1"/>
  <c r="BJ1055" i="4"/>
  <c r="BI1055" i="4"/>
  <c r="BF1055" i="4"/>
  <c r="BD1055" i="4"/>
  <c r="AX1055" i="4"/>
  <c r="AP1055" i="4"/>
  <c r="AO1055" i="4"/>
  <c r="BH1055" i="4" s="1"/>
  <c r="AK1055" i="4"/>
  <c r="AJ1055" i="4"/>
  <c r="AH1055" i="4"/>
  <c r="AG1055" i="4"/>
  <c r="AF1055" i="4"/>
  <c r="AE1055" i="4"/>
  <c r="AD1055" i="4"/>
  <c r="AC1055" i="4"/>
  <c r="AB1055" i="4"/>
  <c r="Z1055" i="4"/>
  <c r="I1055" i="4"/>
  <c r="AL1055" i="4" s="1"/>
  <c r="BJ1053" i="4"/>
  <c r="AH1053" i="4" s="1"/>
  <c r="BI1053" i="4"/>
  <c r="BH1053" i="4"/>
  <c r="BF1053" i="4"/>
  <c r="BD1053" i="4"/>
  <c r="AX1053" i="4"/>
  <c r="AW1053" i="4"/>
  <c r="AP1053" i="4"/>
  <c r="AO1053" i="4"/>
  <c r="AL1053" i="4"/>
  <c r="AK1053" i="4"/>
  <c r="AJ1053" i="4"/>
  <c r="AG1053" i="4"/>
  <c r="AF1053" i="4"/>
  <c r="AE1053" i="4"/>
  <c r="AD1053" i="4"/>
  <c r="AC1053" i="4"/>
  <c r="AB1053" i="4"/>
  <c r="Z1053" i="4"/>
  <c r="I1053" i="4"/>
  <c r="BJ1051" i="4"/>
  <c r="AH1051" i="4" s="1"/>
  <c r="BH1051" i="4"/>
  <c r="BF1051" i="4"/>
  <c r="BD1051" i="4"/>
  <c r="AX1051" i="4"/>
  <c r="AW1051" i="4"/>
  <c r="BC1051" i="4" s="1"/>
  <c r="AV1051" i="4"/>
  <c r="AP1051" i="4"/>
  <c r="BI1051" i="4" s="1"/>
  <c r="AO1051" i="4"/>
  <c r="AL1051" i="4"/>
  <c r="AK1051" i="4"/>
  <c r="AT1044" i="4" s="1"/>
  <c r="AJ1051" i="4"/>
  <c r="AG1051" i="4"/>
  <c r="AF1051" i="4"/>
  <c r="AE1051" i="4"/>
  <c r="AD1051" i="4"/>
  <c r="AC1051" i="4"/>
  <c r="AB1051" i="4"/>
  <c r="Z1051" i="4"/>
  <c r="I1051" i="4"/>
  <c r="BJ1049" i="4"/>
  <c r="BF1049" i="4"/>
  <c r="BD1049" i="4"/>
  <c r="AW1049" i="4"/>
  <c r="AP1049" i="4"/>
  <c r="AO1049" i="4"/>
  <c r="BH1049" i="4" s="1"/>
  <c r="AK1049" i="4"/>
  <c r="AJ1049" i="4"/>
  <c r="AH1049" i="4"/>
  <c r="AG1049" i="4"/>
  <c r="AF1049" i="4"/>
  <c r="AE1049" i="4"/>
  <c r="AD1049" i="4"/>
  <c r="AC1049" i="4"/>
  <c r="AB1049" i="4"/>
  <c r="Z1049" i="4"/>
  <c r="I1049" i="4"/>
  <c r="AL1049" i="4" s="1"/>
  <c r="BJ1047" i="4"/>
  <c r="BF1047" i="4"/>
  <c r="BD1047" i="4"/>
  <c r="AP1047" i="4"/>
  <c r="AO1047" i="4"/>
  <c r="AK1047" i="4"/>
  <c r="AJ1047" i="4"/>
  <c r="AS1044" i="4" s="1"/>
  <c r="AH1047" i="4"/>
  <c r="AG1047" i="4"/>
  <c r="AF1047" i="4"/>
  <c r="AE1047" i="4"/>
  <c r="AD1047" i="4"/>
  <c r="AC1047" i="4"/>
  <c r="AB1047" i="4"/>
  <c r="Z1047" i="4"/>
  <c r="I1047" i="4"/>
  <c r="AL1047" i="4" s="1"/>
  <c r="BJ1045" i="4"/>
  <c r="AH1045" i="4" s="1"/>
  <c r="BF1045" i="4"/>
  <c r="BD1045" i="4"/>
  <c r="AP1045" i="4"/>
  <c r="BI1045" i="4" s="1"/>
  <c r="AO1045" i="4"/>
  <c r="AK1045" i="4"/>
  <c r="AJ1045" i="4"/>
  <c r="AG1045" i="4"/>
  <c r="AF1045" i="4"/>
  <c r="AE1045" i="4"/>
  <c r="AD1045" i="4"/>
  <c r="AC1045" i="4"/>
  <c r="AB1045" i="4"/>
  <c r="Z1045" i="4"/>
  <c r="I1045" i="4"/>
  <c r="BJ1043" i="4"/>
  <c r="Z1043" i="4" s="1"/>
  <c r="BH1043" i="4"/>
  <c r="BF1043" i="4"/>
  <c r="BD1043" i="4"/>
  <c r="AX1043" i="4"/>
  <c r="AW1043" i="4"/>
  <c r="BC1043" i="4" s="1"/>
  <c r="AP1043" i="4"/>
  <c r="BI1043" i="4" s="1"/>
  <c r="AO1043" i="4"/>
  <c r="AL1043" i="4"/>
  <c r="AK1043" i="4"/>
  <c r="AJ1043" i="4"/>
  <c r="AH1043" i="4"/>
  <c r="AG1043" i="4"/>
  <c r="AF1043" i="4"/>
  <c r="AE1043" i="4"/>
  <c r="AD1043" i="4"/>
  <c r="AC1043" i="4"/>
  <c r="AB1043" i="4"/>
  <c r="I1043" i="4"/>
  <c r="BJ1042" i="4"/>
  <c r="BF1042" i="4"/>
  <c r="BD1042" i="4"/>
  <c r="AW1042" i="4"/>
  <c r="AP1042" i="4"/>
  <c r="AO1042" i="4"/>
  <c r="BH1042" i="4" s="1"/>
  <c r="AK1042" i="4"/>
  <c r="AJ1042" i="4"/>
  <c r="AH1042" i="4"/>
  <c r="AG1042" i="4"/>
  <c r="AF1042" i="4"/>
  <c r="AE1042" i="4"/>
  <c r="AD1042" i="4"/>
  <c r="AC1042" i="4"/>
  <c r="AB1042" i="4"/>
  <c r="Z1042" i="4"/>
  <c r="I1042" i="4"/>
  <c r="AL1042" i="4" s="1"/>
  <c r="BJ1041" i="4"/>
  <c r="BF1041" i="4"/>
  <c r="BD1041" i="4"/>
  <c r="AP1041" i="4"/>
  <c r="AO1041" i="4"/>
  <c r="AK1041" i="4"/>
  <c r="AJ1041" i="4"/>
  <c r="AH1041" i="4"/>
  <c r="AG1041" i="4"/>
  <c r="AF1041" i="4"/>
  <c r="AE1041" i="4"/>
  <c r="AD1041" i="4"/>
  <c r="AC1041" i="4"/>
  <c r="AB1041" i="4"/>
  <c r="Z1041" i="4"/>
  <c r="I1041" i="4"/>
  <c r="AL1041" i="4" s="1"/>
  <c r="BJ1040" i="4"/>
  <c r="BF1040" i="4"/>
  <c r="BD1040" i="4"/>
  <c r="AP1040" i="4"/>
  <c r="BI1040" i="4" s="1"/>
  <c r="AO1040" i="4"/>
  <c r="AK1040" i="4"/>
  <c r="AJ1040" i="4"/>
  <c r="AH1040" i="4"/>
  <c r="AG1040" i="4"/>
  <c r="AF1040" i="4"/>
  <c r="AE1040" i="4"/>
  <c r="AD1040" i="4"/>
  <c r="AC1040" i="4"/>
  <c r="AB1040" i="4"/>
  <c r="Z1040" i="4"/>
  <c r="I1040" i="4"/>
  <c r="AL1040" i="4" s="1"/>
  <c r="BJ1039" i="4"/>
  <c r="Z1039" i="4" s="1"/>
  <c r="BF1039" i="4"/>
  <c r="BD1039" i="4"/>
  <c r="AP1039" i="4"/>
  <c r="AX1039" i="4" s="1"/>
  <c r="AO1039" i="4"/>
  <c r="BH1039" i="4" s="1"/>
  <c r="AL1039" i="4"/>
  <c r="AK1039" i="4"/>
  <c r="AJ1039" i="4"/>
  <c r="AH1039" i="4"/>
  <c r="AG1039" i="4"/>
  <c r="AF1039" i="4"/>
  <c r="AE1039" i="4"/>
  <c r="AD1039" i="4"/>
  <c r="AC1039" i="4"/>
  <c r="AB1039" i="4"/>
  <c r="I1039" i="4"/>
  <c r="BJ1038" i="4"/>
  <c r="Z1038" i="4" s="1"/>
  <c r="BI1038" i="4"/>
  <c r="BF1038" i="4"/>
  <c r="BD1038" i="4"/>
  <c r="AX1038" i="4"/>
  <c r="AP1038" i="4"/>
  <c r="AO1038" i="4"/>
  <c r="AW1038" i="4" s="1"/>
  <c r="AL1038" i="4"/>
  <c r="AK1038" i="4"/>
  <c r="AJ1038" i="4"/>
  <c r="AH1038" i="4"/>
  <c r="AG1038" i="4"/>
  <c r="AF1038" i="4"/>
  <c r="AE1038" i="4"/>
  <c r="AD1038" i="4"/>
  <c r="AC1038" i="4"/>
  <c r="AB1038" i="4"/>
  <c r="I1038" i="4"/>
  <c r="BJ1037" i="4"/>
  <c r="Z1037" i="4" s="1"/>
  <c r="BI1037" i="4"/>
  <c r="BH1037" i="4"/>
  <c r="BF1037" i="4"/>
  <c r="BD1037" i="4"/>
  <c r="AX1037" i="4"/>
  <c r="AW1037" i="4"/>
  <c r="BC1037" i="4" s="1"/>
  <c r="AP1037" i="4"/>
  <c r="AO1037" i="4"/>
  <c r="AL1037" i="4"/>
  <c r="AK1037" i="4"/>
  <c r="AJ1037" i="4"/>
  <c r="AH1037" i="4"/>
  <c r="AG1037" i="4"/>
  <c r="AF1037" i="4"/>
  <c r="AE1037" i="4"/>
  <c r="AD1037" i="4"/>
  <c r="AC1037" i="4"/>
  <c r="AB1037" i="4"/>
  <c r="I1037" i="4"/>
  <c r="BJ1034" i="4"/>
  <c r="Z1034" i="4" s="1"/>
  <c r="BI1034" i="4"/>
  <c r="BH1034" i="4"/>
  <c r="BF1034" i="4"/>
  <c r="BD1034" i="4"/>
  <c r="AW1034" i="4"/>
  <c r="BC1034" i="4" s="1"/>
  <c r="AP1034" i="4"/>
  <c r="AX1034" i="4" s="1"/>
  <c r="AO1034" i="4"/>
  <c r="AL1034" i="4"/>
  <c r="AK1034" i="4"/>
  <c r="AJ1034" i="4"/>
  <c r="AH1034" i="4"/>
  <c r="AG1034" i="4"/>
  <c r="AF1034" i="4"/>
  <c r="AE1034" i="4"/>
  <c r="AD1034" i="4"/>
  <c r="AC1034" i="4"/>
  <c r="AB1034" i="4"/>
  <c r="I1034" i="4"/>
  <c r="BJ1032" i="4"/>
  <c r="BI1032" i="4"/>
  <c r="BH1032" i="4"/>
  <c r="BF1032" i="4"/>
  <c r="BD1032" i="4"/>
  <c r="AP1032" i="4"/>
  <c r="AX1032" i="4" s="1"/>
  <c r="AO1032" i="4"/>
  <c r="AW1032" i="4" s="1"/>
  <c r="AL1032" i="4"/>
  <c r="AK1032" i="4"/>
  <c r="AJ1032" i="4"/>
  <c r="AH1032" i="4"/>
  <c r="AG1032" i="4"/>
  <c r="AF1032" i="4"/>
  <c r="AE1032" i="4"/>
  <c r="AD1032" i="4"/>
  <c r="AC1032" i="4"/>
  <c r="AB1032" i="4"/>
  <c r="Z1032" i="4"/>
  <c r="I1032" i="4"/>
  <c r="BJ1030" i="4"/>
  <c r="BH1030" i="4"/>
  <c r="BF1030" i="4"/>
  <c r="BD1030" i="4"/>
  <c r="AP1030" i="4"/>
  <c r="BI1030" i="4" s="1"/>
  <c r="AO1030" i="4"/>
  <c r="AW1030" i="4" s="1"/>
  <c r="AK1030" i="4"/>
  <c r="AJ1030" i="4"/>
  <c r="AH1030" i="4"/>
  <c r="AG1030" i="4"/>
  <c r="AF1030" i="4"/>
  <c r="AE1030" i="4"/>
  <c r="AD1030" i="4"/>
  <c r="AC1030" i="4"/>
  <c r="AB1030" i="4"/>
  <c r="Z1030" i="4"/>
  <c r="I1030" i="4"/>
  <c r="AL1030" i="4" s="1"/>
  <c r="BJ1028" i="4"/>
  <c r="Z1028" i="4" s="1"/>
  <c r="BI1028" i="4"/>
  <c r="BF1028" i="4"/>
  <c r="BD1028" i="4"/>
  <c r="AX1028" i="4"/>
  <c r="AP1028" i="4"/>
  <c r="AO1028" i="4"/>
  <c r="BH1028" i="4" s="1"/>
  <c r="AK1028" i="4"/>
  <c r="AJ1028" i="4"/>
  <c r="AH1028" i="4"/>
  <c r="AG1028" i="4"/>
  <c r="AF1028" i="4"/>
  <c r="AE1028" i="4"/>
  <c r="AD1028" i="4"/>
  <c r="AC1028" i="4"/>
  <c r="AB1028" i="4"/>
  <c r="I1028" i="4"/>
  <c r="AL1028" i="4" s="1"/>
  <c r="BJ1025" i="4"/>
  <c r="Z1025" i="4" s="1"/>
  <c r="BI1025" i="4"/>
  <c r="BH1025" i="4"/>
  <c r="BF1025" i="4"/>
  <c r="BD1025" i="4"/>
  <c r="AX1025" i="4"/>
  <c r="AW1025" i="4"/>
  <c r="AP1025" i="4"/>
  <c r="AO1025" i="4"/>
  <c r="AL1025" i="4"/>
  <c r="AK1025" i="4"/>
  <c r="AJ1025" i="4"/>
  <c r="AH1025" i="4"/>
  <c r="AG1025" i="4"/>
  <c r="AF1025" i="4"/>
  <c r="AE1025" i="4"/>
  <c r="AD1025" i="4"/>
  <c r="AC1025" i="4"/>
  <c r="AB1025" i="4"/>
  <c r="I1025" i="4"/>
  <c r="BJ1022" i="4"/>
  <c r="Z1022" i="4" s="1"/>
  <c r="BH1022" i="4"/>
  <c r="BF1022" i="4"/>
  <c r="BD1022" i="4"/>
  <c r="AX1022" i="4"/>
  <c r="AW1022" i="4"/>
  <c r="AP1022" i="4"/>
  <c r="BI1022" i="4" s="1"/>
  <c r="AO1022" i="4"/>
  <c r="AL1022" i="4"/>
  <c r="AK1022" i="4"/>
  <c r="AJ1022" i="4"/>
  <c r="AH1022" i="4"/>
  <c r="AG1022" i="4"/>
  <c r="AF1022" i="4"/>
  <c r="AE1022" i="4"/>
  <c r="AD1022" i="4"/>
  <c r="AC1022" i="4"/>
  <c r="AB1022" i="4"/>
  <c r="I1022" i="4"/>
  <c r="BJ1020" i="4"/>
  <c r="BF1020" i="4"/>
  <c r="BD1020" i="4"/>
  <c r="AW1020" i="4"/>
  <c r="AP1020" i="4"/>
  <c r="AO1020" i="4"/>
  <c r="BH1020" i="4" s="1"/>
  <c r="AK1020" i="4"/>
  <c r="AJ1020" i="4"/>
  <c r="AH1020" i="4"/>
  <c r="AG1020" i="4"/>
  <c r="AF1020" i="4"/>
  <c r="AE1020" i="4"/>
  <c r="AD1020" i="4"/>
  <c r="AC1020" i="4"/>
  <c r="AB1020" i="4"/>
  <c r="Z1020" i="4"/>
  <c r="I1020" i="4"/>
  <c r="AL1020" i="4" s="1"/>
  <c r="BJ1019" i="4"/>
  <c r="BF1019" i="4"/>
  <c r="BD1019" i="4"/>
  <c r="AP1019" i="4"/>
  <c r="AO1019" i="4"/>
  <c r="AK1019" i="4"/>
  <c r="AJ1019" i="4"/>
  <c r="AH1019" i="4"/>
  <c r="AG1019" i="4"/>
  <c r="AF1019" i="4"/>
  <c r="AE1019" i="4"/>
  <c r="AD1019" i="4"/>
  <c r="AC1019" i="4"/>
  <c r="AB1019" i="4"/>
  <c r="Z1019" i="4"/>
  <c r="I1019" i="4"/>
  <c r="BJ1016" i="4"/>
  <c r="BI1016" i="4"/>
  <c r="BH1016" i="4"/>
  <c r="BF1016" i="4"/>
  <c r="BD1016" i="4"/>
  <c r="AX1016" i="4"/>
  <c r="AW1016" i="4"/>
  <c r="AP1016" i="4"/>
  <c r="AO1016" i="4"/>
  <c r="AL1016" i="4"/>
  <c r="AK1016" i="4"/>
  <c r="AJ1016" i="4"/>
  <c r="AH1016" i="4"/>
  <c r="AG1016" i="4"/>
  <c r="AF1016" i="4"/>
  <c r="AE1016" i="4"/>
  <c r="AD1016" i="4"/>
  <c r="AC1016" i="4"/>
  <c r="AB1016" i="4"/>
  <c r="Z1016" i="4"/>
  <c r="I1016" i="4"/>
  <c r="AU1015" i="4"/>
  <c r="AT1015" i="4"/>
  <c r="AS1015" i="4"/>
  <c r="I1015" i="4"/>
  <c r="BJ1012" i="4"/>
  <c r="BI1012" i="4"/>
  <c r="BH1012" i="4"/>
  <c r="BF1012" i="4"/>
  <c r="BD1012" i="4"/>
  <c r="AP1012" i="4"/>
  <c r="AX1012" i="4" s="1"/>
  <c r="AO1012" i="4"/>
  <c r="AW1012" i="4" s="1"/>
  <c r="AL1012" i="4"/>
  <c r="AK1012" i="4"/>
  <c r="AT1008" i="4" s="1"/>
  <c r="AJ1012" i="4"/>
  <c r="AS1008" i="4" s="1"/>
  <c r="AH1012" i="4"/>
  <c r="AG1012" i="4"/>
  <c r="AF1012" i="4"/>
  <c r="AE1012" i="4"/>
  <c r="AD1012" i="4"/>
  <c r="AC1012" i="4"/>
  <c r="AB1012" i="4"/>
  <c r="Z1012" i="4"/>
  <c r="I1012" i="4"/>
  <c r="BJ1009" i="4"/>
  <c r="BH1009" i="4"/>
  <c r="BF1009" i="4"/>
  <c r="BD1009" i="4"/>
  <c r="AP1009" i="4"/>
  <c r="BI1009" i="4" s="1"/>
  <c r="AG1009" i="4" s="1"/>
  <c r="AO1009" i="4"/>
  <c r="AW1009" i="4" s="1"/>
  <c r="AK1009" i="4"/>
  <c r="AJ1009" i="4"/>
  <c r="AH1009" i="4"/>
  <c r="AF1009" i="4"/>
  <c r="AE1009" i="4"/>
  <c r="AD1009" i="4"/>
  <c r="AC1009" i="4"/>
  <c r="AB1009" i="4"/>
  <c r="Z1009" i="4"/>
  <c r="I1009" i="4"/>
  <c r="AL1009" i="4" s="1"/>
  <c r="AU1008" i="4" s="1"/>
  <c r="I1008" i="4"/>
  <c r="BJ1007" i="4"/>
  <c r="Z1007" i="4" s="1"/>
  <c r="BI1007" i="4"/>
  <c r="BH1007" i="4"/>
  <c r="BF1007" i="4"/>
  <c r="BD1007" i="4"/>
  <c r="AX1007" i="4"/>
  <c r="AP1007" i="4"/>
  <c r="AO1007" i="4"/>
  <c r="AW1007" i="4" s="1"/>
  <c r="AL1007" i="4"/>
  <c r="AK1007" i="4"/>
  <c r="AJ1007" i="4"/>
  <c r="AH1007" i="4"/>
  <c r="AG1007" i="4"/>
  <c r="AF1007" i="4"/>
  <c r="AE1007" i="4"/>
  <c r="AD1007" i="4"/>
  <c r="AC1007" i="4"/>
  <c r="AB1007" i="4"/>
  <c r="I1007" i="4"/>
  <c r="AU1006" i="4"/>
  <c r="AT1006" i="4"/>
  <c r="AS1006" i="4"/>
  <c r="I1006" i="4"/>
  <c r="BJ1004" i="4"/>
  <c r="BF1004" i="4"/>
  <c r="BD1004" i="4"/>
  <c r="AP1004" i="4"/>
  <c r="BI1004" i="4" s="1"/>
  <c r="AC1004" i="4" s="1"/>
  <c r="AO1004" i="4"/>
  <c r="AL1004" i="4"/>
  <c r="AK1004" i="4"/>
  <c r="AJ1004" i="4"/>
  <c r="AH1004" i="4"/>
  <c r="AG1004" i="4"/>
  <c r="AF1004" i="4"/>
  <c r="AE1004" i="4"/>
  <c r="AD1004" i="4"/>
  <c r="Z1004" i="4"/>
  <c r="I1004" i="4"/>
  <c r="BJ1002" i="4"/>
  <c r="BF1002" i="4"/>
  <c r="BD1002" i="4"/>
  <c r="AP1002" i="4"/>
  <c r="AX1002" i="4" s="1"/>
  <c r="AO1002" i="4"/>
  <c r="AK1002" i="4"/>
  <c r="AJ1002" i="4"/>
  <c r="AH1002" i="4"/>
  <c r="AG1002" i="4"/>
  <c r="AF1002" i="4"/>
  <c r="AE1002" i="4"/>
  <c r="AD1002" i="4"/>
  <c r="Z1002" i="4"/>
  <c r="I1002" i="4"/>
  <c r="AL1002" i="4" s="1"/>
  <c r="BJ1000" i="4"/>
  <c r="BI1000" i="4"/>
  <c r="AC1000" i="4" s="1"/>
  <c r="BF1000" i="4"/>
  <c r="BD1000" i="4"/>
  <c r="BC1000" i="4"/>
  <c r="AP1000" i="4"/>
  <c r="AX1000" i="4" s="1"/>
  <c r="AO1000" i="4"/>
  <c r="AW1000" i="4" s="1"/>
  <c r="AV1000" i="4" s="1"/>
  <c r="AL1000" i="4"/>
  <c r="AK1000" i="4"/>
  <c r="AJ1000" i="4"/>
  <c r="AH1000" i="4"/>
  <c r="AG1000" i="4"/>
  <c r="AF1000" i="4"/>
  <c r="AE1000" i="4"/>
  <c r="AD1000" i="4"/>
  <c r="Z1000" i="4"/>
  <c r="I1000" i="4"/>
  <c r="BJ998" i="4"/>
  <c r="BI998" i="4"/>
  <c r="AC998" i="4" s="1"/>
  <c r="BH998" i="4"/>
  <c r="AB998" i="4" s="1"/>
  <c r="BF998" i="4"/>
  <c r="BD998" i="4"/>
  <c r="AX998" i="4"/>
  <c r="AP998" i="4"/>
  <c r="AO998" i="4"/>
  <c r="AW998" i="4" s="1"/>
  <c r="AL998" i="4"/>
  <c r="AK998" i="4"/>
  <c r="AJ998" i="4"/>
  <c r="AH998" i="4"/>
  <c r="AG998" i="4"/>
  <c r="AF998" i="4"/>
  <c r="AE998" i="4"/>
  <c r="AD998" i="4"/>
  <c r="Z998" i="4"/>
  <c r="I998" i="4"/>
  <c r="BJ990" i="4"/>
  <c r="BI990" i="4"/>
  <c r="BH990" i="4"/>
  <c r="AB990" i="4" s="1"/>
  <c r="BF990" i="4"/>
  <c r="BD990" i="4"/>
  <c r="AW990" i="4"/>
  <c r="AP990" i="4"/>
  <c r="AX990" i="4" s="1"/>
  <c r="AO990" i="4"/>
  <c r="AL990" i="4"/>
  <c r="AK990" i="4"/>
  <c r="AJ990" i="4"/>
  <c r="AH990" i="4"/>
  <c r="AG990" i="4"/>
  <c r="AF990" i="4"/>
  <c r="AE990" i="4"/>
  <c r="AD990" i="4"/>
  <c r="AC990" i="4"/>
  <c r="Z990" i="4"/>
  <c r="I990" i="4"/>
  <c r="BJ988" i="4"/>
  <c r="BI988" i="4"/>
  <c r="AC988" i="4" s="1"/>
  <c r="BH988" i="4"/>
  <c r="BF988" i="4"/>
  <c r="BD988" i="4"/>
  <c r="AP988" i="4"/>
  <c r="AX988" i="4" s="1"/>
  <c r="AO988" i="4"/>
  <c r="AW988" i="4" s="1"/>
  <c r="BC988" i="4" s="1"/>
  <c r="AL988" i="4"/>
  <c r="AK988" i="4"/>
  <c r="AJ988" i="4"/>
  <c r="AH988" i="4"/>
  <c r="AG988" i="4"/>
  <c r="AF988" i="4"/>
  <c r="AE988" i="4"/>
  <c r="AD988" i="4"/>
  <c r="AB988" i="4"/>
  <c r="Z988" i="4"/>
  <c r="I988" i="4"/>
  <c r="I987" i="4"/>
  <c r="BJ985" i="4"/>
  <c r="BI985" i="4"/>
  <c r="AC985" i="4" s="1"/>
  <c r="BF985" i="4"/>
  <c r="BD985" i="4"/>
  <c r="BC985" i="4"/>
  <c r="AP985" i="4"/>
  <c r="AX985" i="4" s="1"/>
  <c r="AO985" i="4"/>
  <c r="AW985" i="4" s="1"/>
  <c r="AK985" i="4"/>
  <c r="AJ985" i="4"/>
  <c r="AH985" i="4"/>
  <c r="AG985" i="4"/>
  <c r="AF985" i="4"/>
  <c r="AE985" i="4"/>
  <c r="AD985" i="4"/>
  <c r="Z985" i="4"/>
  <c r="I985" i="4"/>
  <c r="AL985" i="4" s="1"/>
  <c r="BJ981" i="4"/>
  <c r="BI981" i="4"/>
  <c r="AC981" i="4" s="1"/>
  <c r="BH981" i="4"/>
  <c r="AB981" i="4" s="1"/>
  <c r="BF981" i="4"/>
  <c r="BD981" i="4"/>
  <c r="AX981" i="4"/>
  <c r="AP981" i="4"/>
  <c r="AO981" i="4"/>
  <c r="AW981" i="4" s="1"/>
  <c r="AL981" i="4"/>
  <c r="AK981" i="4"/>
  <c r="AJ981" i="4"/>
  <c r="AH981" i="4"/>
  <c r="AG981" i="4"/>
  <c r="AF981" i="4"/>
  <c r="AE981" i="4"/>
  <c r="AD981" i="4"/>
  <c r="Z981" i="4"/>
  <c r="I981" i="4"/>
  <c r="BJ979" i="4"/>
  <c r="BI979" i="4"/>
  <c r="BH979" i="4"/>
  <c r="AB979" i="4" s="1"/>
  <c r="BF979" i="4"/>
  <c r="BD979" i="4"/>
  <c r="AW979" i="4"/>
  <c r="AP979" i="4"/>
  <c r="AX979" i="4" s="1"/>
  <c r="AO979" i="4"/>
  <c r="AL979" i="4"/>
  <c r="AK979" i="4"/>
  <c r="AJ979" i="4"/>
  <c r="AH979" i="4"/>
  <c r="AG979" i="4"/>
  <c r="AF979" i="4"/>
  <c r="AE979" i="4"/>
  <c r="AD979" i="4"/>
  <c r="AC979" i="4"/>
  <c r="Z979" i="4"/>
  <c r="I979" i="4"/>
  <c r="BJ977" i="4"/>
  <c r="BI977" i="4"/>
  <c r="AC977" i="4" s="1"/>
  <c r="BH977" i="4"/>
  <c r="AB977" i="4" s="1"/>
  <c r="BF977" i="4"/>
  <c r="BD977" i="4"/>
  <c r="AP977" i="4"/>
  <c r="AX977" i="4" s="1"/>
  <c r="AO977" i="4"/>
  <c r="AW977" i="4" s="1"/>
  <c r="AL977" i="4"/>
  <c r="AK977" i="4"/>
  <c r="AJ977" i="4"/>
  <c r="AH977" i="4"/>
  <c r="AG977" i="4"/>
  <c r="AF977" i="4"/>
  <c r="AE977" i="4"/>
  <c r="AD977" i="4"/>
  <c r="Z977" i="4"/>
  <c r="I977" i="4"/>
  <c r="BJ972" i="4"/>
  <c r="BI972" i="4"/>
  <c r="AC972" i="4" s="1"/>
  <c r="BH972" i="4"/>
  <c r="AB972" i="4" s="1"/>
  <c r="BF972" i="4"/>
  <c r="BD972" i="4"/>
  <c r="AX972" i="4"/>
  <c r="BC972" i="4" s="1"/>
  <c r="AP972" i="4"/>
  <c r="AO972" i="4"/>
  <c r="AW972" i="4" s="1"/>
  <c r="AK972" i="4"/>
  <c r="AJ972" i="4"/>
  <c r="AH972" i="4"/>
  <c r="AG972" i="4"/>
  <c r="AF972" i="4"/>
  <c r="AE972" i="4"/>
  <c r="AD972" i="4"/>
  <c r="Z972" i="4"/>
  <c r="I972" i="4"/>
  <c r="AL972" i="4" s="1"/>
  <c r="BJ969" i="4"/>
  <c r="BI969" i="4"/>
  <c r="BF969" i="4"/>
  <c r="BD969" i="4"/>
  <c r="AX969" i="4"/>
  <c r="AP969" i="4"/>
  <c r="AO969" i="4"/>
  <c r="BH969" i="4" s="1"/>
  <c r="AB969" i="4" s="1"/>
  <c r="AK969" i="4"/>
  <c r="AJ969" i="4"/>
  <c r="AH969" i="4"/>
  <c r="AG969" i="4"/>
  <c r="AF969" i="4"/>
  <c r="AE969" i="4"/>
  <c r="AD969" i="4"/>
  <c r="AC969" i="4"/>
  <c r="Z969" i="4"/>
  <c r="I969" i="4"/>
  <c r="AL969" i="4" s="1"/>
  <c r="BJ964" i="4"/>
  <c r="BI964" i="4"/>
  <c r="BH964" i="4"/>
  <c r="BF964" i="4"/>
  <c r="BD964" i="4"/>
  <c r="AX964" i="4"/>
  <c r="BC964" i="4" s="1"/>
  <c r="AW964" i="4"/>
  <c r="AV964" i="4"/>
  <c r="AP964" i="4"/>
  <c r="AO964" i="4"/>
  <c r="AL964" i="4"/>
  <c r="AK964" i="4"/>
  <c r="AJ964" i="4"/>
  <c r="AH964" i="4"/>
  <c r="AG964" i="4"/>
  <c r="AF964" i="4"/>
  <c r="AE964" i="4"/>
  <c r="AD964" i="4"/>
  <c r="AC964" i="4"/>
  <c r="AB964" i="4"/>
  <c r="Z964" i="4"/>
  <c r="I964" i="4"/>
  <c r="BJ955" i="4"/>
  <c r="BH955" i="4"/>
  <c r="BF955" i="4"/>
  <c r="BD955" i="4"/>
  <c r="AW955" i="4"/>
  <c r="AP955" i="4"/>
  <c r="AX955" i="4" s="1"/>
  <c r="AO955" i="4"/>
  <c r="AL955" i="4"/>
  <c r="AK955" i="4"/>
  <c r="AJ955" i="4"/>
  <c r="AH955" i="4"/>
  <c r="AG955" i="4"/>
  <c r="AF955" i="4"/>
  <c r="AE955" i="4"/>
  <c r="AD955" i="4"/>
  <c r="AB955" i="4"/>
  <c r="Z955" i="4"/>
  <c r="I955" i="4"/>
  <c r="BJ953" i="4"/>
  <c r="BI953" i="4"/>
  <c r="AC953" i="4" s="1"/>
  <c r="BF953" i="4"/>
  <c r="BD953" i="4"/>
  <c r="AX953" i="4"/>
  <c r="AP953" i="4"/>
  <c r="AO953" i="4"/>
  <c r="AW953" i="4" s="1"/>
  <c r="AK953" i="4"/>
  <c r="AJ953" i="4"/>
  <c r="AH953" i="4"/>
  <c r="AG953" i="4"/>
  <c r="AF953" i="4"/>
  <c r="AE953" i="4"/>
  <c r="AD953" i="4"/>
  <c r="Z953" i="4"/>
  <c r="I953" i="4"/>
  <c r="AL953" i="4" s="1"/>
  <c r="BJ950" i="4"/>
  <c r="BH950" i="4"/>
  <c r="AB950" i="4" s="1"/>
  <c r="BF950" i="4"/>
  <c r="BD950" i="4"/>
  <c r="AP950" i="4"/>
  <c r="BI950" i="4" s="1"/>
  <c r="AC950" i="4" s="1"/>
  <c r="AO950" i="4"/>
  <c r="AW950" i="4" s="1"/>
  <c r="AK950" i="4"/>
  <c r="AJ950" i="4"/>
  <c r="AH950" i="4"/>
  <c r="AG950" i="4"/>
  <c r="AF950" i="4"/>
  <c r="AE950" i="4"/>
  <c r="AD950" i="4"/>
  <c r="Z950" i="4"/>
  <c r="I950" i="4"/>
  <c r="AL950" i="4" s="1"/>
  <c r="BJ945" i="4"/>
  <c r="BF945" i="4"/>
  <c r="BD945" i="4"/>
  <c r="AP945" i="4"/>
  <c r="AO945" i="4"/>
  <c r="AK945" i="4"/>
  <c r="AJ945" i="4"/>
  <c r="AH945" i="4"/>
  <c r="AG945" i="4"/>
  <c r="AF945" i="4"/>
  <c r="AE945" i="4"/>
  <c r="AD945" i="4"/>
  <c r="Z945" i="4"/>
  <c r="I945" i="4"/>
  <c r="AL945" i="4" s="1"/>
  <c r="BJ942" i="4"/>
  <c r="BF942" i="4"/>
  <c r="BD942" i="4"/>
  <c r="AP942" i="4"/>
  <c r="AX942" i="4" s="1"/>
  <c r="AO942" i="4"/>
  <c r="AL942" i="4"/>
  <c r="AK942" i="4"/>
  <c r="AJ942" i="4"/>
  <c r="AH942" i="4"/>
  <c r="AG942" i="4"/>
  <c r="AF942" i="4"/>
  <c r="AE942" i="4"/>
  <c r="AD942" i="4"/>
  <c r="Z942" i="4"/>
  <c r="I942" i="4"/>
  <c r="BJ939" i="4"/>
  <c r="BI939" i="4"/>
  <c r="AC939" i="4" s="1"/>
  <c r="BH939" i="4"/>
  <c r="AB939" i="4" s="1"/>
  <c r="BF939" i="4"/>
  <c r="BD939" i="4"/>
  <c r="AP939" i="4"/>
  <c r="AX939" i="4" s="1"/>
  <c r="AO939" i="4"/>
  <c r="AW939" i="4" s="1"/>
  <c r="AL939" i="4"/>
  <c r="AK939" i="4"/>
  <c r="AJ939" i="4"/>
  <c r="AH939" i="4"/>
  <c r="AG939" i="4"/>
  <c r="AF939" i="4"/>
  <c r="AE939" i="4"/>
  <c r="AD939" i="4"/>
  <c r="Z939" i="4"/>
  <c r="I939" i="4"/>
  <c r="BJ937" i="4"/>
  <c r="BI937" i="4"/>
  <c r="AC937" i="4" s="1"/>
  <c r="BF937" i="4"/>
  <c r="BD937" i="4"/>
  <c r="AX937" i="4"/>
  <c r="AW937" i="4"/>
  <c r="AP937" i="4"/>
  <c r="AO937" i="4"/>
  <c r="BH937" i="4" s="1"/>
  <c r="AB937" i="4" s="1"/>
  <c r="AL937" i="4"/>
  <c r="AK937" i="4"/>
  <c r="AJ937" i="4"/>
  <c r="AH937" i="4"/>
  <c r="AG937" i="4"/>
  <c r="AF937" i="4"/>
  <c r="AE937" i="4"/>
  <c r="AD937" i="4"/>
  <c r="Z937" i="4"/>
  <c r="I937" i="4"/>
  <c r="BJ934" i="4"/>
  <c r="BI934" i="4"/>
  <c r="AC934" i="4" s="1"/>
  <c r="BH934" i="4"/>
  <c r="AB934" i="4" s="1"/>
  <c r="BF934" i="4"/>
  <c r="BD934" i="4"/>
  <c r="AW934" i="4"/>
  <c r="BC934" i="4" s="1"/>
  <c r="AP934" i="4"/>
  <c r="AX934" i="4" s="1"/>
  <c r="AO934" i="4"/>
  <c r="AL934" i="4"/>
  <c r="AK934" i="4"/>
  <c r="AJ934" i="4"/>
  <c r="AH934" i="4"/>
  <c r="AG934" i="4"/>
  <c r="AF934" i="4"/>
  <c r="AE934" i="4"/>
  <c r="AD934" i="4"/>
  <c r="Z934" i="4"/>
  <c r="I934" i="4"/>
  <c r="BJ928" i="4"/>
  <c r="BI928" i="4"/>
  <c r="AC928" i="4" s="1"/>
  <c r="BH928" i="4"/>
  <c r="AB928" i="4" s="1"/>
  <c r="BF928" i="4"/>
  <c r="BD928" i="4"/>
  <c r="AP928" i="4"/>
  <c r="AX928" i="4" s="1"/>
  <c r="AO928" i="4"/>
  <c r="AW928" i="4" s="1"/>
  <c r="AV928" i="4" s="1"/>
  <c r="AL928" i="4"/>
  <c r="AK928" i="4"/>
  <c r="AJ928" i="4"/>
  <c r="AH928" i="4"/>
  <c r="AG928" i="4"/>
  <c r="AF928" i="4"/>
  <c r="AE928" i="4"/>
  <c r="AD928" i="4"/>
  <c r="Z928" i="4"/>
  <c r="I928" i="4"/>
  <c r="BJ925" i="4"/>
  <c r="BF925" i="4"/>
  <c r="BD925" i="4"/>
  <c r="AX925" i="4"/>
  <c r="AP925" i="4"/>
  <c r="BI925" i="4" s="1"/>
  <c r="AC925" i="4" s="1"/>
  <c r="AO925" i="4"/>
  <c r="AK925" i="4"/>
  <c r="AJ925" i="4"/>
  <c r="AH925" i="4"/>
  <c r="AG925" i="4"/>
  <c r="AF925" i="4"/>
  <c r="AE925" i="4"/>
  <c r="AD925" i="4"/>
  <c r="Z925" i="4"/>
  <c r="I925" i="4"/>
  <c r="AL925" i="4" s="1"/>
  <c r="BJ913" i="4"/>
  <c r="BI913" i="4"/>
  <c r="BH913" i="4"/>
  <c r="AB913" i="4" s="1"/>
  <c r="BF913" i="4"/>
  <c r="BD913" i="4"/>
  <c r="AX913" i="4"/>
  <c r="AP913" i="4"/>
  <c r="AO913" i="4"/>
  <c r="AW913" i="4" s="1"/>
  <c r="AK913" i="4"/>
  <c r="AJ913" i="4"/>
  <c r="AH913" i="4"/>
  <c r="AG913" i="4"/>
  <c r="AF913" i="4"/>
  <c r="AE913" i="4"/>
  <c r="AD913" i="4"/>
  <c r="AC913" i="4"/>
  <c r="Z913" i="4"/>
  <c r="I913" i="4"/>
  <c r="AL913" i="4" s="1"/>
  <c r="BJ885" i="4"/>
  <c r="BI885" i="4"/>
  <c r="BH885" i="4"/>
  <c r="BF885" i="4"/>
  <c r="BD885" i="4"/>
  <c r="BC885" i="4"/>
  <c r="AX885" i="4"/>
  <c r="AW885" i="4"/>
  <c r="AV885" i="4"/>
  <c r="AP885" i="4"/>
  <c r="AO885" i="4"/>
  <c r="AL885" i="4"/>
  <c r="AK885" i="4"/>
  <c r="AJ885" i="4"/>
  <c r="AH885" i="4"/>
  <c r="AG885" i="4"/>
  <c r="AF885" i="4"/>
  <c r="AE885" i="4"/>
  <c r="AD885" i="4"/>
  <c r="AC885" i="4"/>
  <c r="AB885" i="4"/>
  <c r="Z885" i="4"/>
  <c r="I885" i="4"/>
  <c r="BJ876" i="4"/>
  <c r="BH876" i="4"/>
  <c r="BF876" i="4"/>
  <c r="BD876" i="4"/>
  <c r="AX876" i="4"/>
  <c r="AW876" i="4"/>
  <c r="AV876" i="4" s="1"/>
  <c r="AP876" i="4"/>
  <c r="BI876" i="4" s="1"/>
  <c r="AC876" i="4" s="1"/>
  <c r="AO876" i="4"/>
  <c r="AL876" i="4"/>
  <c r="AK876" i="4"/>
  <c r="AJ876" i="4"/>
  <c r="AH876" i="4"/>
  <c r="AG876" i="4"/>
  <c r="AF876" i="4"/>
  <c r="AE876" i="4"/>
  <c r="AD876" i="4"/>
  <c r="AB876" i="4"/>
  <c r="Z876" i="4"/>
  <c r="I876" i="4"/>
  <c r="BJ868" i="4"/>
  <c r="BF868" i="4"/>
  <c r="BD868" i="4"/>
  <c r="AX868" i="4"/>
  <c r="AW868" i="4"/>
  <c r="AV868" i="4" s="1"/>
  <c r="AP868" i="4"/>
  <c r="BI868" i="4" s="1"/>
  <c r="AC868" i="4" s="1"/>
  <c r="AO868" i="4"/>
  <c r="BH868" i="4" s="1"/>
  <c r="AB868" i="4" s="1"/>
  <c r="AK868" i="4"/>
  <c r="AJ868" i="4"/>
  <c r="AH868" i="4"/>
  <c r="AG868" i="4"/>
  <c r="AF868" i="4"/>
  <c r="AE868" i="4"/>
  <c r="AD868" i="4"/>
  <c r="Z868" i="4"/>
  <c r="I868" i="4"/>
  <c r="AL868" i="4" s="1"/>
  <c r="BJ861" i="4"/>
  <c r="BF861" i="4"/>
  <c r="BD861" i="4"/>
  <c r="AP861" i="4"/>
  <c r="BI861" i="4" s="1"/>
  <c r="AO861" i="4"/>
  <c r="AK861" i="4"/>
  <c r="AJ861" i="4"/>
  <c r="AH861" i="4"/>
  <c r="AG861" i="4"/>
  <c r="AF861" i="4"/>
  <c r="AE861" i="4"/>
  <c r="AD861" i="4"/>
  <c r="AC861" i="4"/>
  <c r="Z861" i="4"/>
  <c r="I861" i="4"/>
  <c r="BJ858" i="4"/>
  <c r="BI858" i="4"/>
  <c r="BH858" i="4"/>
  <c r="BF858" i="4"/>
  <c r="BD858" i="4"/>
  <c r="AX858" i="4"/>
  <c r="AW858" i="4"/>
  <c r="AP858" i="4"/>
  <c r="AO858" i="4"/>
  <c r="AL858" i="4"/>
  <c r="AK858" i="4"/>
  <c r="AJ858" i="4"/>
  <c r="AH858" i="4"/>
  <c r="AG858" i="4"/>
  <c r="AF858" i="4"/>
  <c r="AE858" i="4"/>
  <c r="AD858" i="4"/>
  <c r="AC858" i="4"/>
  <c r="AB858" i="4"/>
  <c r="Z858" i="4"/>
  <c r="I858" i="4"/>
  <c r="BJ856" i="4"/>
  <c r="BI856" i="4"/>
  <c r="AC856" i="4" s="1"/>
  <c r="BH856" i="4"/>
  <c r="BF856" i="4"/>
  <c r="BD856" i="4"/>
  <c r="AW856" i="4"/>
  <c r="AV856" i="4"/>
  <c r="AP856" i="4"/>
  <c r="AX856" i="4" s="1"/>
  <c r="AO856" i="4"/>
  <c r="AL856" i="4"/>
  <c r="AK856" i="4"/>
  <c r="AJ856" i="4"/>
  <c r="AH856" i="4"/>
  <c r="AG856" i="4"/>
  <c r="AF856" i="4"/>
  <c r="AE856" i="4"/>
  <c r="AD856" i="4"/>
  <c r="AB856" i="4"/>
  <c r="Z856" i="4"/>
  <c r="I856" i="4"/>
  <c r="BJ854" i="4"/>
  <c r="BH854" i="4"/>
  <c r="AB854" i="4" s="1"/>
  <c r="BF854" i="4"/>
  <c r="BD854" i="4"/>
  <c r="AP854" i="4"/>
  <c r="AO854" i="4"/>
  <c r="AW854" i="4" s="1"/>
  <c r="AK854" i="4"/>
  <c r="AT850" i="4" s="1"/>
  <c r="AJ854" i="4"/>
  <c r="AH854" i="4"/>
  <c r="AG854" i="4"/>
  <c r="AF854" i="4"/>
  <c r="AE854" i="4"/>
  <c r="AD854" i="4"/>
  <c r="Z854" i="4"/>
  <c r="I854" i="4"/>
  <c r="AL854" i="4" s="1"/>
  <c r="AU850" i="4" s="1"/>
  <c r="BJ851" i="4"/>
  <c r="BH851" i="4"/>
  <c r="AB851" i="4" s="1"/>
  <c r="BF851" i="4"/>
  <c r="BD851" i="4"/>
  <c r="BC851" i="4"/>
  <c r="AX851" i="4"/>
  <c r="AW851" i="4"/>
  <c r="AV851" i="4" s="1"/>
  <c r="AP851" i="4"/>
  <c r="BI851" i="4" s="1"/>
  <c r="AC851" i="4" s="1"/>
  <c r="AO851" i="4"/>
  <c r="AL851" i="4"/>
  <c r="AK851" i="4"/>
  <c r="AJ851" i="4"/>
  <c r="AH851" i="4"/>
  <c r="AG851" i="4"/>
  <c r="AF851" i="4"/>
  <c r="AE851" i="4"/>
  <c r="AD851" i="4"/>
  <c r="Z851" i="4"/>
  <c r="I851" i="4"/>
  <c r="BJ848" i="4"/>
  <c r="BI848" i="4"/>
  <c r="BH848" i="4"/>
  <c r="BF848" i="4"/>
  <c r="BD848" i="4"/>
  <c r="BC848" i="4"/>
  <c r="AX848" i="4"/>
  <c r="AW848" i="4"/>
  <c r="AV848" i="4"/>
  <c r="AP848" i="4"/>
  <c r="AO848" i="4"/>
  <c r="AL848" i="4"/>
  <c r="AU844" i="4" s="1"/>
  <c r="AK848" i="4"/>
  <c r="AJ848" i="4"/>
  <c r="AH848" i="4"/>
  <c r="AG848" i="4"/>
  <c r="AF848" i="4"/>
  <c r="AE848" i="4"/>
  <c r="AD848" i="4"/>
  <c r="AC848" i="4"/>
  <c r="AB848" i="4"/>
  <c r="Z848" i="4"/>
  <c r="I848" i="4"/>
  <c r="BJ845" i="4"/>
  <c r="BI845" i="4"/>
  <c r="AC845" i="4" s="1"/>
  <c r="BH845" i="4"/>
  <c r="BF845" i="4"/>
  <c r="BD845" i="4"/>
  <c r="BC845" i="4"/>
  <c r="AX845" i="4"/>
  <c r="AW845" i="4"/>
  <c r="AV845" i="4" s="1"/>
  <c r="AP845" i="4"/>
  <c r="AO845" i="4"/>
  <c r="AL845" i="4"/>
  <c r="AK845" i="4"/>
  <c r="AT844" i="4" s="1"/>
  <c r="AJ845" i="4"/>
  <c r="AH845" i="4"/>
  <c r="AG845" i="4"/>
  <c r="AF845" i="4"/>
  <c r="AE845" i="4"/>
  <c r="AD845" i="4"/>
  <c r="AB845" i="4"/>
  <c r="Z845" i="4"/>
  <c r="I845" i="4"/>
  <c r="AS844" i="4"/>
  <c r="I844" i="4"/>
  <c r="BJ842" i="4"/>
  <c r="BI842" i="4"/>
  <c r="AE842" i="4" s="1"/>
  <c r="BH842" i="4"/>
  <c r="BF842" i="4"/>
  <c r="BD842" i="4"/>
  <c r="AP842" i="4"/>
  <c r="AX842" i="4" s="1"/>
  <c r="BC842" i="4" s="1"/>
  <c r="AO842" i="4"/>
  <c r="AW842" i="4" s="1"/>
  <c r="AK842" i="4"/>
  <c r="AT839" i="4" s="1"/>
  <c r="AJ842" i="4"/>
  <c r="AS839" i="4" s="1"/>
  <c r="AH842" i="4"/>
  <c r="AG842" i="4"/>
  <c r="AF842" i="4"/>
  <c r="AD842" i="4"/>
  <c r="AC842" i="4"/>
  <c r="AB842" i="4"/>
  <c r="Z842" i="4"/>
  <c r="I842" i="4"/>
  <c r="AL842" i="4" s="1"/>
  <c r="BJ840" i="4"/>
  <c r="BI840" i="4"/>
  <c r="BH840" i="4"/>
  <c r="AD840" i="4" s="1"/>
  <c r="BF840" i="4"/>
  <c r="BD840" i="4"/>
  <c r="AX840" i="4"/>
  <c r="AW840" i="4"/>
  <c r="AP840" i="4"/>
  <c r="AO840" i="4"/>
  <c r="AK840" i="4"/>
  <c r="AJ840" i="4"/>
  <c r="AH840" i="4"/>
  <c r="AG840" i="4"/>
  <c r="AF840" i="4"/>
  <c r="AE840" i="4"/>
  <c r="AC840" i="4"/>
  <c r="AB840" i="4"/>
  <c r="Z840" i="4"/>
  <c r="I840" i="4"/>
  <c r="AL840" i="4" s="1"/>
  <c r="AU839" i="4" s="1"/>
  <c r="BJ836" i="4"/>
  <c r="BI836" i="4"/>
  <c r="AE836" i="4" s="1"/>
  <c r="BH836" i="4"/>
  <c r="AD836" i="4" s="1"/>
  <c r="BF836" i="4"/>
  <c r="BD836" i="4"/>
  <c r="AW836" i="4"/>
  <c r="AV836" i="4"/>
  <c r="AP836" i="4"/>
  <c r="AX836" i="4" s="1"/>
  <c r="AO836" i="4"/>
  <c r="AK836" i="4"/>
  <c r="AJ836" i="4"/>
  <c r="AH836" i="4"/>
  <c r="AG836" i="4"/>
  <c r="AF836" i="4"/>
  <c r="AC836" i="4"/>
  <c r="AB836" i="4"/>
  <c r="Z836" i="4"/>
  <c r="I836" i="4"/>
  <c r="AL836" i="4" s="1"/>
  <c r="BJ833" i="4"/>
  <c r="BH833" i="4"/>
  <c r="AD833" i="4" s="1"/>
  <c r="BF833" i="4"/>
  <c r="BD833" i="4"/>
  <c r="AV833" i="4"/>
  <c r="AP833" i="4"/>
  <c r="AX833" i="4" s="1"/>
  <c r="AO833" i="4"/>
  <c r="AW833" i="4" s="1"/>
  <c r="BC833" i="4" s="1"/>
  <c r="AL833" i="4"/>
  <c r="AK833" i="4"/>
  <c r="AJ833" i="4"/>
  <c r="AS832" i="4" s="1"/>
  <c r="AH833" i="4"/>
  <c r="AG833" i="4"/>
  <c r="AF833" i="4"/>
  <c r="AC833" i="4"/>
  <c r="AB833" i="4"/>
  <c r="Z833" i="4"/>
  <c r="I833" i="4"/>
  <c r="AU832" i="4"/>
  <c r="AT832" i="4"/>
  <c r="BJ829" i="4"/>
  <c r="BF829" i="4"/>
  <c r="BD829" i="4"/>
  <c r="AX829" i="4"/>
  <c r="BC829" i="4" s="1"/>
  <c r="AP829" i="4"/>
  <c r="BI829" i="4" s="1"/>
  <c r="AE829" i="4" s="1"/>
  <c r="AO829" i="4"/>
  <c r="AW829" i="4" s="1"/>
  <c r="AK829" i="4"/>
  <c r="AJ829" i="4"/>
  <c r="AH829" i="4"/>
  <c r="AG829" i="4"/>
  <c r="AF829" i="4"/>
  <c r="AC829" i="4"/>
  <c r="AB829" i="4"/>
  <c r="Z829" i="4"/>
  <c r="I829" i="4"/>
  <c r="AL829" i="4" s="1"/>
  <c r="AU828" i="4" s="1"/>
  <c r="AT828" i="4"/>
  <c r="AS828" i="4"/>
  <c r="BJ827" i="4"/>
  <c r="BF827" i="4"/>
  <c r="BD827" i="4"/>
  <c r="AX827" i="4"/>
  <c r="AP827" i="4"/>
  <c r="BI827" i="4" s="1"/>
  <c r="AO827" i="4"/>
  <c r="BH827" i="4" s="1"/>
  <c r="AK827" i="4"/>
  <c r="AJ827" i="4"/>
  <c r="AH827" i="4"/>
  <c r="AG827" i="4"/>
  <c r="AF827" i="4"/>
  <c r="AE827" i="4"/>
  <c r="AD827" i="4"/>
  <c r="AC827" i="4"/>
  <c r="AB827" i="4"/>
  <c r="Z827" i="4"/>
  <c r="I827" i="4"/>
  <c r="AL827" i="4" s="1"/>
  <c r="BJ825" i="4"/>
  <c r="BF825" i="4"/>
  <c r="BD825" i="4"/>
  <c r="AP825" i="4"/>
  <c r="AO825" i="4"/>
  <c r="BH825" i="4" s="1"/>
  <c r="AD825" i="4" s="1"/>
  <c r="AL825" i="4"/>
  <c r="AK825" i="4"/>
  <c r="AJ825" i="4"/>
  <c r="AH825" i="4"/>
  <c r="AG825" i="4"/>
  <c r="AF825" i="4"/>
  <c r="AC825" i="4"/>
  <c r="AB825" i="4"/>
  <c r="Z825" i="4"/>
  <c r="I825" i="4"/>
  <c r="BJ823" i="4"/>
  <c r="BI823" i="4"/>
  <c r="AE823" i="4" s="1"/>
  <c r="BF823" i="4"/>
  <c r="BD823" i="4"/>
  <c r="BC823" i="4"/>
  <c r="AW823" i="4"/>
  <c r="AV823" i="4" s="1"/>
  <c r="AP823" i="4"/>
  <c r="AX823" i="4" s="1"/>
  <c r="AO823" i="4"/>
  <c r="BH823" i="4" s="1"/>
  <c r="AD823" i="4" s="1"/>
  <c r="AK823" i="4"/>
  <c r="AT819" i="4" s="1"/>
  <c r="AJ823" i="4"/>
  <c r="AS819" i="4" s="1"/>
  <c r="AH823" i="4"/>
  <c r="AG823" i="4"/>
  <c r="AF823" i="4"/>
  <c r="AC823" i="4"/>
  <c r="AB823" i="4"/>
  <c r="Z823" i="4"/>
  <c r="I823" i="4"/>
  <c r="AL823" i="4" s="1"/>
  <c r="BJ820" i="4"/>
  <c r="BH820" i="4"/>
  <c r="BF820" i="4"/>
  <c r="BD820" i="4"/>
  <c r="AP820" i="4"/>
  <c r="AO820" i="4"/>
  <c r="AW820" i="4" s="1"/>
  <c r="AK820" i="4"/>
  <c r="AJ820" i="4"/>
  <c r="AH820" i="4"/>
  <c r="AG820" i="4"/>
  <c r="AF820" i="4"/>
  <c r="AD820" i="4"/>
  <c r="AC820" i="4"/>
  <c r="AB820" i="4"/>
  <c r="Z820" i="4"/>
  <c r="I820" i="4"/>
  <c r="AL820" i="4" s="1"/>
  <c r="BJ818" i="4"/>
  <c r="BH818" i="4"/>
  <c r="BF818" i="4"/>
  <c r="BD818" i="4"/>
  <c r="AX818" i="4"/>
  <c r="AW818" i="4"/>
  <c r="AP818" i="4"/>
  <c r="BI818" i="4" s="1"/>
  <c r="AO818" i="4"/>
  <c r="AL818" i="4"/>
  <c r="AK818" i="4"/>
  <c r="AJ818" i="4"/>
  <c r="AH818" i="4"/>
  <c r="AG818" i="4"/>
  <c r="AF818" i="4"/>
  <c r="AE818" i="4"/>
  <c r="AD818" i="4"/>
  <c r="AC818" i="4"/>
  <c r="AB818" i="4"/>
  <c r="Z818" i="4"/>
  <c r="I818" i="4"/>
  <c r="BJ817" i="4"/>
  <c r="BF817" i="4"/>
  <c r="BD817" i="4"/>
  <c r="AX817" i="4"/>
  <c r="AV817" i="4" s="1"/>
  <c r="AW817" i="4"/>
  <c r="AP817" i="4"/>
  <c r="BI817" i="4" s="1"/>
  <c r="AE817" i="4" s="1"/>
  <c r="AO817" i="4"/>
  <c r="BH817" i="4" s="1"/>
  <c r="AL817" i="4"/>
  <c r="AK817" i="4"/>
  <c r="AJ817" i="4"/>
  <c r="AH817" i="4"/>
  <c r="AG817" i="4"/>
  <c r="AF817" i="4"/>
  <c r="AD817" i="4"/>
  <c r="AC817" i="4"/>
  <c r="AB817" i="4"/>
  <c r="Z817" i="4"/>
  <c r="I817" i="4"/>
  <c r="BJ816" i="4"/>
  <c r="BI816" i="4"/>
  <c r="AE816" i="4" s="1"/>
  <c r="BF816" i="4"/>
  <c r="BD816" i="4"/>
  <c r="AP816" i="4"/>
  <c r="AX816" i="4" s="1"/>
  <c r="AO816" i="4"/>
  <c r="AK816" i="4"/>
  <c r="AJ816" i="4"/>
  <c r="AH816" i="4"/>
  <c r="AG816" i="4"/>
  <c r="AF816" i="4"/>
  <c r="AC816" i="4"/>
  <c r="AB816" i="4"/>
  <c r="Z816" i="4"/>
  <c r="I816" i="4"/>
  <c r="AL816" i="4" s="1"/>
  <c r="BJ815" i="4"/>
  <c r="BI815" i="4"/>
  <c r="AE815" i="4" s="1"/>
  <c r="BH815" i="4"/>
  <c r="BF815" i="4"/>
  <c r="BD815" i="4"/>
  <c r="BC815" i="4"/>
  <c r="AX815" i="4"/>
  <c r="AP815" i="4"/>
  <c r="AO815" i="4"/>
  <c r="AW815" i="4" s="1"/>
  <c r="AV815" i="4" s="1"/>
  <c r="AK815" i="4"/>
  <c r="AJ815" i="4"/>
  <c r="AH815" i="4"/>
  <c r="AG815" i="4"/>
  <c r="AF815" i="4"/>
  <c r="AD815" i="4"/>
  <c r="AC815" i="4"/>
  <c r="AB815" i="4"/>
  <c r="Z815" i="4"/>
  <c r="I815" i="4"/>
  <c r="AL815" i="4" s="1"/>
  <c r="BJ812" i="4"/>
  <c r="BH812" i="4"/>
  <c r="AD812" i="4" s="1"/>
  <c r="BF812" i="4"/>
  <c r="BD812" i="4"/>
  <c r="AP812" i="4"/>
  <c r="AO812" i="4"/>
  <c r="AW812" i="4" s="1"/>
  <c r="AK812" i="4"/>
  <c r="AJ812" i="4"/>
  <c r="AH812" i="4"/>
  <c r="AG812" i="4"/>
  <c r="AF812" i="4"/>
  <c r="AC812" i="4"/>
  <c r="AB812" i="4"/>
  <c r="Z812" i="4"/>
  <c r="I812" i="4"/>
  <c r="AL812" i="4" s="1"/>
  <c r="BJ809" i="4"/>
  <c r="BI809" i="4"/>
  <c r="AE809" i="4" s="1"/>
  <c r="BF809" i="4"/>
  <c r="BD809" i="4"/>
  <c r="AP809" i="4"/>
  <c r="AX809" i="4" s="1"/>
  <c r="AO809" i="4"/>
  <c r="AK809" i="4"/>
  <c r="AJ809" i="4"/>
  <c r="AH809" i="4"/>
  <c r="AG809" i="4"/>
  <c r="AF809" i="4"/>
  <c r="AC809" i="4"/>
  <c r="AB809" i="4"/>
  <c r="Z809" i="4"/>
  <c r="I809" i="4"/>
  <c r="BJ807" i="4"/>
  <c r="BI807" i="4"/>
  <c r="AE807" i="4" s="1"/>
  <c r="BH807" i="4"/>
  <c r="AD807" i="4" s="1"/>
  <c r="BF807" i="4"/>
  <c r="BD807" i="4"/>
  <c r="BC807" i="4"/>
  <c r="AP807" i="4"/>
  <c r="AX807" i="4" s="1"/>
  <c r="AO807" i="4"/>
  <c r="AW807" i="4" s="1"/>
  <c r="AV807" i="4" s="1"/>
  <c r="AL807" i="4"/>
  <c r="AK807" i="4"/>
  <c r="AJ807" i="4"/>
  <c r="AH807" i="4"/>
  <c r="AG807" i="4"/>
  <c r="AF807" i="4"/>
  <c r="AC807" i="4"/>
  <c r="AB807" i="4"/>
  <c r="Z807" i="4"/>
  <c r="I807" i="4"/>
  <c r="BJ804" i="4"/>
  <c r="BF804" i="4"/>
  <c r="BD804" i="4"/>
  <c r="AX804" i="4"/>
  <c r="AP804" i="4"/>
  <c r="BI804" i="4" s="1"/>
  <c r="AE804" i="4" s="1"/>
  <c r="AO804" i="4"/>
  <c r="AK804" i="4"/>
  <c r="AJ804" i="4"/>
  <c r="AH804" i="4"/>
  <c r="AG804" i="4"/>
  <c r="AF804" i="4"/>
  <c r="AC804" i="4"/>
  <c r="AB804" i="4"/>
  <c r="Z804" i="4"/>
  <c r="I804" i="4"/>
  <c r="AL804" i="4" s="1"/>
  <c r="BJ801" i="4"/>
  <c r="BI801" i="4"/>
  <c r="AE801" i="4" s="1"/>
  <c r="BF801" i="4"/>
  <c r="BD801" i="4"/>
  <c r="AX801" i="4"/>
  <c r="AP801" i="4"/>
  <c r="AO801" i="4"/>
  <c r="BH801" i="4" s="1"/>
  <c r="AD801" i="4" s="1"/>
  <c r="AK801" i="4"/>
  <c r="AJ801" i="4"/>
  <c r="AH801" i="4"/>
  <c r="AG801" i="4"/>
  <c r="AF801" i="4"/>
  <c r="AC801" i="4"/>
  <c r="AB801" i="4"/>
  <c r="Z801" i="4"/>
  <c r="I801" i="4"/>
  <c r="AL801" i="4" s="1"/>
  <c r="BJ799" i="4"/>
  <c r="BI799" i="4"/>
  <c r="BH799" i="4"/>
  <c r="AD799" i="4" s="1"/>
  <c r="BF799" i="4"/>
  <c r="BD799" i="4"/>
  <c r="AX799" i="4"/>
  <c r="BC799" i="4" s="1"/>
  <c r="AW799" i="4"/>
  <c r="AV799" i="4"/>
  <c r="AP799" i="4"/>
  <c r="AO799" i="4"/>
  <c r="AL799" i="4"/>
  <c r="AK799" i="4"/>
  <c r="AJ799" i="4"/>
  <c r="AH799" i="4"/>
  <c r="AG799" i="4"/>
  <c r="AF799" i="4"/>
  <c r="AE799" i="4"/>
  <c r="AC799" i="4"/>
  <c r="AB799" i="4"/>
  <c r="Z799" i="4"/>
  <c r="I799" i="4"/>
  <c r="BJ796" i="4"/>
  <c r="BH796" i="4"/>
  <c r="BF796" i="4"/>
  <c r="BD796" i="4"/>
  <c r="AW796" i="4"/>
  <c r="AP796" i="4"/>
  <c r="AX796" i="4" s="1"/>
  <c r="AO796" i="4"/>
  <c r="AL796" i="4"/>
  <c r="AK796" i="4"/>
  <c r="AT791" i="4" s="1"/>
  <c r="AJ796" i="4"/>
  <c r="AH796" i="4"/>
  <c r="AG796" i="4"/>
  <c r="AF796" i="4"/>
  <c r="AD796" i="4"/>
  <c r="AC796" i="4"/>
  <c r="AB796" i="4"/>
  <c r="Z796" i="4"/>
  <c r="I796" i="4"/>
  <c r="BJ792" i="4"/>
  <c r="BI792" i="4"/>
  <c r="AE792" i="4" s="1"/>
  <c r="BF792" i="4"/>
  <c r="BD792" i="4"/>
  <c r="AX792" i="4"/>
  <c r="AP792" i="4"/>
  <c r="AO792" i="4"/>
  <c r="AW792" i="4" s="1"/>
  <c r="AK792" i="4"/>
  <c r="AJ792" i="4"/>
  <c r="AH792" i="4"/>
  <c r="AG792" i="4"/>
  <c r="AF792" i="4"/>
  <c r="AC792" i="4"/>
  <c r="AB792" i="4"/>
  <c r="Z792" i="4"/>
  <c r="I792" i="4"/>
  <c r="AL792" i="4" s="1"/>
  <c r="BJ789" i="4"/>
  <c r="BI789" i="4"/>
  <c r="AE789" i="4" s="1"/>
  <c r="BH789" i="4"/>
  <c r="BF789" i="4"/>
  <c r="BD789" i="4"/>
  <c r="BC789" i="4"/>
  <c r="AX789" i="4"/>
  <c r="AW789" i="4"/>
  <c r="AP789" i="4"/>
  <c r="AO789" i="4"/>
  <c r="AL789" i="4"/>
  <c r="AK789" i="4"/>
  <c r="AJ789" i="4"/>
  <c r="AH789" i="4"/>
  <c r="AG789" i="4"/>
  <c r="AF789" i="4"/>
  <c r="AD789" i="4"/>
  <c r="AC789" i="4"/>
  <c r="AB789" i="4"/>
  <c r="Z789" i="4"/>
  <c r="I789" i="4"/>
  <c r="BJ788" i="4"/>
  <c r="Z788" i="4" s="1"/>
  <c r="BI788" i="4"/>
  <c r="BH788" i="4"/>
  <c r="BF788" i="4"/>
  <c r="BD788" i="4"/>
  <c r="AX788" i="4"/>
  <c r="AW788" i="4"/>
  <c r="AP788" i="4"/>
  <c r="AO788" i="4"/>
  <c r="AL788" i="4"/>
  <c r="AK788" i="4"/>
  <c r="AJ788" i="4"/>
  <c r="AH788" i="4"/>
  <c r="AG788" i="4"/>
  <c r="AF788" i="4"/>
  <c r="AE788" i="4"/>
  <c r="AD788" i="4"/>
  <c r="AC788" i="4"/>
  <c r="AB788" i="4"/>
  <c r="I788" i="4"/>
  <c r="BJ782" i="4"/>
  <c r="BH782" i="4"/>
  <c r="BF782" i="4"/>
  <c r="BD782" i="4"/>
  <c r="AW782" i="4"/>
  <c r="AP782" i="4"/>
  <c r="BI782" i="4" s="1"/>
  <c r="AO782" i="4"/>
  <c r="AL782" i="4"/>
  <c r="AK782" i="4"/>
  <c r="AJ782" i="4"/>
  <c r="AH782" i="4"/>
  <c r="AG782" i="4"/>
  <c r="AF782" i="4"/>
  <c r="AE782" i="4"/>
  <c r="AD782" i="4"/>
  <c r="AC782" i="4"/>
  <c r="AB782" i="4"/>
  <c r="Z782" i="4"/>
  <c r="I782" i="4"/>
  <c r="BJ778" i="4"/>
  <c r="BF778" i="4"/>
  <c r="BD778" i="4"/>
  <c r="AP778" i="4"/>
  <c r="AO778" i="4"/>
  <c r="BH778" i="4" s="1"/>
  <c r="AD778" i="4" s="1"/>
  <c r="AK778" i="4"/>
  <c r="AJ778" i="4"/>
  <c r="AH778" i="4"/>
  <c r="AG778" i="4"/>
  <c r="AF778" i="4"/>
  <c r="AC778" i="4"/>
  <c r="AB778" i="4"/>
  <c r="Z778" i="4"/>
  <c r="I778" i="4"/>
  <c r="AL778" i="4" s="1"/>
  <c r="BJ775" i="4"/>
  <c r="BF775" i="4"/>
  <c r="BD775" i="4"/>
  <c r="AW775" i="4"/>
  <c r="AP775" i="4"/>
  <c r="AO775" i="4"/>
  <c r="BH775" i="4" s="1"/>
  <c r="AD775" i="4" s="1"/>
  <c r="AK775" i="4"/>
  <c r="AJ775" i="4"/>
  <c r="AS772" i="4" s="1"/>
  <c r="AH775" i="4"/>
  <c r="AG775" i="4"/>
  <c r="AF775" i="4"/>
  <c r="AC775" i="4"/>
  <c r="AB775" i="4"/>
  <c r="Z775" i="4"/>
  <c r="I775" i="4"/>
  <c r="AL775" i="4" s="1"/>
  <c r="BJ773" i="4"/>
  <c r="BF773" i="4"/>
  <c r="BD773" i="4"/>
  <c r="AX773" i="4"/>
  <c r="AP773" i="4"/>
  <c r="BI773" i="4" s="1"/>
  <c r="AE773" i="4" s="1"/>
  <c r="AO773" i="4"/>
  <c r="BH773" i="4" s="1"/>
  <c r="AD773" i="4" s="1"/>
  <c r="AL773" i="4"/>
  <c r="AK773" i="4"/>
  <c r="AJ773" i="4"/>
  <c r="AH773" i="4"/>
  <c r="AG773" i="4"/>
  <c r="AF773" i="4"/>
  <c r="AC773" i="4"/>
  <c r="AB773" i="4"/>
  <c r="Z773" i="4"/>
  <c r="I773" i="4"/>
  <c r="AT772" i="4"/>
  <c r="BJ771" i="4"/>
  <c r="Z771" i="4" s="1"/>
  <c r="BI771" i="4"/>
  <c r="BH771" i="4"/>
  <c r="BF771" i="4"/>
  <c r="BD771" i="4"/>
  <c r="BC771" i="4"/>
  <c r="AX771" i="4"/>
  <c r="AW771" i="4"/>
  <c r="AV771" i="4"/>
  <c r="AP771" i="4"/>
  <c r="AO771" i="4"/>
  <c r="AL771" i="4"/>
  <c r="AK771" i="4"/>
  <c r="AJ771" i="4"/>
  <c r="AH771" i="4"/>
  <c r="AG771" i="4"/>
  <c r="AF771" i="4"/>
  <c r="AE771" i="4"/>
  <c r="AD771" i="4"/>
  <c r="AC771" i="4"/>
  <c r="AB771" i="4"/>
  <c r="I771" i="4"/>
  <c r="BJ770" i="4"/>
  <c r="BI770" i="4"/>
  <c r="AE770" i="4" s="1"/>
  <c r="BH770" i="4"/>
  <c r="AD770" i="4" s="1"/>
  <c r="BF770" i="4"/>
  <c r="BD770" i="4"/>
  <c r="BC770" i="4"/>
  <c r="AX770" i="4"/>
  <c r="AW770" i="4"/>
  <c r="AV770" i="4" s="1"/>
  <c r="AP770" i="4"/>
  <c r="AO770" i="4"/>
  <c r="AK770" i="4"/>
  <c r="AJ770" i="4"/>
  <c r="AH770" i="4"/>
  <c r="AG770" i="4"/>
  <c r="AF770" i="4"/>
  <c r="AC770" i="4"/>
  <c r="AB770" i="4"/>
  <c r="Z770" i="4"/>
  <c r="I770" i="4"/>
  <c r="AL770" i="4" s="1"/>
  <c r="BJ768" i="4"/>
  <c r="BH768" i="4"/>
  <c r="AD768" i="4" s="1"/>
  <c r="BF768" i="4"/>
  <c r="BD768" i="4"/>
  <c r="AP768" i="4"/>
  <c r="BI768" i="4" s="1"/>
  <c r="AO768" i="4"/>
  <c r="AW768" i="4" s="1"/>
  <c r="AK768" i="4"/>
  <c r="AJ768" i="4"/>
  <c r="AH768" i="4"/>
  <c r="AG768" i="4"/>
  <c r="AF768" i="4"/>
  <c r="AE768" i="4"/>
  <c r="AC768" i="4"/>
  <c r="AB768" i="4"/>
  <c r="Z768" i="4"/>
  <c r="I768" i="4"/>
  <c r="AL768" i="4" s="1"/>
  <c r="BJ765" i="4"/>
  <c r="BF765" i="4"/>
  <c r="BD765" i="4"/>
  <c r="AW765" i="4"/>
  <c r="AP765" i="4"/>
  <c r="AO765" i="4"/>
  <c r="BH765" i="4" s="1"/>
  <c r="AD765" i="4" s="1"/>
  <c r="AK765" i="4"/>
  <c r="AJ765" i="4"/>
  <c r="AH765" i="4"/>
  <c r="AG765" i="4"/>
  <c r="AF765" i="4"/>
  <c r="AC765" i="4"/>
  <c r="AB765" i="4"/>
  <c r="Z765" i="4"/>
  <c r="I765" i="4"/>
  <c r="BJ762" i="4"/>
  <c r="BI762" i="4"/>
  <c r="BF762" i="4"/>
  <c r="BD762" i="4"/>
  <c r="AP762" i="4"/>
  <c r="AX762" i="4" s="1"/>
  <c r="AO762" i="4"/>
  <c r="BH762" i="4" s="1"/>
  <c r="AD762" i="4" s="1"/>
  <c r="AL762" i="4"/>
  <c r="AK762" i="4"/>
  <c r="AJ762" i="4"/>
  <c r="AH762" i="4"/>
  <c r="AG762" i="4"/>
  <c r="AF762" i="4"/>
  <c r="AE762" i="4"/>
  <c r="AC762" i="4"/>
  <c r="AB762" i="4"/>
  <c r="Z762" i="4"/>
  <c r="I762" i="4"/>
  <c r="BJ759" i="4"/>
  <c r="BI759" i="4"/>
  <c r="AE759" i="4" s="1"/>
  <c r="BH759" i="4"/>
  <c r="BF759" i="4"/>
  <c r="BD759" i="4"/>
  <c r="AX759" i="4"/>
  <c r="AW759" i="4"/>
  <c r="BC759" i="4" s="1"/>
  <c r="AP759" i="4"/>
  <c r="AO759" i="4"/>
  <c r="AK759" i="4"/>
  <c r="AJ759" i="4"/>
  <c r="AH759" i="4"/>
  <c r="AG759" i="4"/>
  <c r="AF759" i="4"/>
  <c r="AD759" i="4"/>
  <c r="AC759" i="4"/>
  <c r="AB759" i="4"/>
  <c r="Z759" i="4"/>
  <c r="I759" i="4"/>
  <c r="AL759" i="4" s="1"/>
  <c r="BJ756" i="4"/>
  <c r="BI756" i="4"/>
  <c r="BH756" i="4"/>
  <c r="AD756" i="4" s="1"/>
  <c r="BF756" i="4"/>
  <c r="BD756" i="4"/>
  <c r="AV756" i="4"/>
  <c r="AP756" i="4"/>
  <c r="AX756" i="4" s="1"/>
  <c r="AO756" i="4"/>
  <c r="AW756" i="4" s="1"/>
  <c r="BC756" i="4" s="1"/>
  <c r="AK756" i="4"/>
  <c r="AJ756" i="4"/>
  <c r="AH756" i="4"/>
  <c r="AG756" i="4"/>
  <c r="AF756" i="4"/>
  <c r="AE756" i="4"/>
  <c r="AC756" i="4"/>
  <c r="AB756" i="4"/>
  <c r="Z756" i="4"/>
  <c r="I756" i="4"/>
  <c r="AL756" i="4" s="1"/>
  <c r="BJ752" i="4"/>
  <c r="BI752" i="4"/>
  <c r="AE752" i="4" s="1"/>
  <c r="BF752" i="4"/>
  <c r="BD752" i="4"/>
  <c r="AX752" i="4"/>
  <c r="AP752" i="4"/>
  <c r="AO752" i="4"/>
  <c r="AL752" i="4"/>
  <c r="AK752" i="4"/>
  <c r="AJ752" i="4"/>
  <c r="AH752" i="4"/>
  <c r="AG752" i="4"/>
  <c r="AF752" i="4"/>
  <c r="AC752" i="4"/>
  <c r="AB752" i="4"/>
  <c r="Z752" i="4"/>
  <c r="I752" i="4"/>
  <c r="BJ748" i="4"/>
  <c r="BI748" i="4"/>
  <c r="AE748" i="4" s="1"/>
  <c r="BF748" i="4"/>
  <c r="BD748" i="4"/>
  <c r="AP748" i="4"/>
  <c r="AX748" i="4" s="1"/>
  <c r="AO748" i="4"/>
  <c r="AK748" i="4"/>
  <c r="AJ748" i="4"/>
  <c r="AH748" i="4"/>
  <c r="AG748" i="4"/>
  <c r="AF748" i="4"/>
  <c r="AC748" i="4"/>
  <c r="AB748" i="4"/>
  <c r="Z748" i="4"/>
  <c r="I748" i="4"/>
  <c r="AL748" i="4" s="1"/>
  <c r="BJ745" i="4"/>
  <c r="BI745" i="4"/>
  <c r="BF745" i="4"/>
  <c r="BD745" i="4"/>
  <c r="AX745" i="4"/>
  <c r="AP745" i="4"/>
  <c r="AO745" i="4"/>
  <c r="AW745" i="4" s="1"/>
  <c r="BC745" i="4" s="1"/>
  <c r="AL745" i="4"/>
  <c r="AK745" i="4"/>
  <c r="AJ745" i="4"/>
  <c r="AH745" i="4"/>
  <c r="AG745" i="4"/>
  <c r="AF745" i="4"/>
  <c r="AE745" i="4"/>
  <c r="AC745" i="4"/>
  <c r="AB745" i="4"/>
  <c r="Z745" i="4"/>
  <c r="I745" i="4"/>
  <c r="BJ742" i="4"/>
  <c r="BI742" i="4"/>
  <c r="AE742" i="4" s="1"/>
  <c r="BH742" i="4"/>
  <c r="BF742" i="4"/>
  <c r="BD742" i="4"/>
  <c r="BC742" i="4"/>
  <c r="AX742" i="4"/>
  <c r="AP742" i="4"/>
  <c r="AO742" i="4"/>
  <c r="AW742" i="4" s="1"/>
  <c r="AV742" i="4" s="1"/>
  <c r="AK742" i="4"/>
  <c r="AJ742" i="4"/>
  <c r="AH742" i="4"/>
  <c r="AG742" i="4"/>
  <c r="AF742" i="4"/>
  <c r="AD742" i="4"/>
  <c r="AC742" i="4"/>
  <c r="AB742" i="4"/>
  <c r="Z742" i="4"/>
  <c r="I742" i="4"/>
  <c r="AL742" i="4" s="1"/>
  <c r="BJ739" i="4"/>
  <c r="BI739" i="4"/>
  <c r="AE739" i="4" s="1"/>
  <c r="BH739" i="4"/>
  <c r="AD739" i="4" s="1"/>
  <c r="BF739" i="4"/>
  <c r="BD739" i="4"/>
  <c r="AX739" i="4"/>
  <c r="AW739" i="4"/>
  <c r="AP739" i="4"/>
  <c r="AO739" i="4"/>
  <c r="AL739" i="4"/>
  <c r="AK739" i="4"/>
  <c r="AJ739" i="4"/>
  <c r="AH739" i="4"/>
  <c r="AG739" i="4"/>
  <c r="AF739" i="4"/>
  <c r="AC739" i="4"/>
  <c r="AB739" i="4"/>
  <c r="Z739" i="4"/>
  <c r="I739" i="4"/>
  <c r="BJ736" i="4"/>
  <c r="BH736" i="4"/>
  <c r="AD736" i="4" s="1"/>
  <c r="BF736" i="4"/>
  <c r="BD736" i="4"/>
  <c r="AW736" i="4"/>
  <c r="AP736" i="4"/>
  <c r="BI736" i="4" s="1"/>
  <c r="AO736" i="4"/>
  <c r="AL736" i="4"/>
  <c r="AK736" i="4"/>
  <c r="AJ736" i="4"/>
  <c r="AH736" i="4"/>
  <c r="AG736" i="4"/>
  <c r="AF736" i="4"/>
  <c r="AE736" i="4"/>
  <c r="AC736" i="4"/>
  <c r="AB736" i="4"/>
  <c r="Z736" i="4"/>
  <c r="I736" i="4"/>
  <c r="BJ734" i="4"/>
  <c r="Z734" i="4" s="1"/>
  <c r="BI734" i="4"/>
  <c r="BH734" i="4"/>
  <c r="BF734" i="4"/>
  <c r="BD734" i="4"/>
  <c r="BC734" i="4"/>
  <c r="AX734" i="4"/>
  <c r="AW734" i="4"/>
  <c r="AV734" i="4" s="1"/>
  <c r="AP734" i="4"/>
  <c r="AO734" i="4"/>
  <c r="AL734" i="4"/>
  <c r="AK734" i="4"/>
  <c r="AJ734" i="4"/>
  <c r="AH734" i="4"/>
  <c r="AG734" i="4"/>
  <c r="AF734" i="4"/>
  <c r="AE734" i="4"/>
  <c r="AD734" i="4"/>
  <c r="AC734" i="4"/>
  <c r="AB734" i="4"/>
  <c r="I734" i="4"/>
  <c r="BJ732" i="4"/>
  <c r="BI732" i="4"/>
  <c r="AE732" i="4" s="1"/>
  <c r="BH732" i="4"/>
  <c r="BF732" i="4"/>
  <c r="BD732" i="4"/>
  <c r="AX732" i="4"/>
  <c r="AW732" i="4"/>
  <c r="AP732" i="4"/>
  <c r="AO732" i="4"/>
  <c r="AK732" i="4"/>
  <c r="AJ732" i="4"/>
  <c r="AH732" i="4"/>
  <c r="AG732" i="4"/>
  <c r="AF732" i="4"/>
  <c r="AD732" i="4"/>
  <c r="AC732" i="4"/>
  <c r="AB732" i="4"/>
  <c r="Z732" i="4"/>
  <c r="I732" i="4"/>
  <c r="AL732" i="4" s="1"/>
  <c r="BJ730" i="4"/>
  <c r="BI730" i="4"/>
  <c r="AE730" i="4" s="1"/>
  <c r="BH730" i="4"/>
  <c r="AD730" i="4" s="1"/>
  <c r="BF730" i="4"/>
  <c r="BD730" i="4"/>
  <c r="AX730" i="4"/>
  <c r="AW730" i="4"/>
  <c r="AP730" i="4"/>
  <c r="AO730" i="4"/>
  <c r="AL730" i="4"/>
  <c r="AK730" i="4"/>
  <c r="AJ730" i="4"/>
  <c r="AH730" i="4"/>
  <c r="AG730" i="4"/>
  <c r="AF730" i="4"/>
  <c r="AC730" i="4"/>
  <c r="AB730" i="4"/>
  <c r="Z730" i="4"/>
  <c r="I730" i="4"/>
  <c r="BJ728" i="4"/>
  <c r="BH728" i="4"/>
  <c r="AD728" i="4" s="1"/>
  <c r="BF728" i="4"/>
  <c r="BD728" i="4"/>
  <c r="AW728" i="4"/>
  <c r="AP728" i="4"/>
  <c r="BI728" i="4" s="1"/>
  <c r="AE728" i="4" s="1"/>
  <c r="AO728" i="4"/>
  <c r="AK728" i="4"/>
  <c r="AJ728" i="4"/>
  <c r="AH728" i="4"/>
  <c r="AG728" i="4"/>
  <c r="AF728" i="4"/>
  <c r="AC728" i="4"/>
  <c r="AB728" i="4"/>
  <c r="Z728" i="4"/>
  <c r="I728" i="4"/>
  <c r="AL728" i="4" s="1"/>
  <c r="BJ725" i="4"/>
  <c r="BF725" i="4"/>
  <c r="BD725" i="4"/>
  <c r="AP725" i="4"/>
  <c r="BI725" i="4" s="1"/>
  <c r="AE725" i="4" s="1"/>
  <c r="AO725" i="4"/>
  <c r="BH725" i="4" s="1"/>
  <c r="AD725" i="4" s="1"/>
  <c r="AK725" i="4"/>
  <c r="AJ725" i="4"/>
  <c r="AH725" i="4"/>
  <c r="AG725" i="4"/>
  <c r="AF725" i="4"/>
  <c r="AC725" i="4"/>
  <c r="AB725" i="4"/>
  <c r="Z725" i="4"/>
  <c r="I725" i="4"/>
  <c r="AL725" i="4" s="1"/>
  <c r="BJ722" i="4"/>
  <c r="BF722" i="4"/>
  <c r="BD722" i="4"/>
  <c r="AX722" i="4"/>
  <c r="AP722" i="4"/>
  <c r="BI722" i="4" s="1"/>
  <c r="AE722" i="4" s="1"/>
  <c r="AO722" i="4"/>
  <c r="BH722" i="4" s="1"/>
  <c r="AD722" i="4" s="1"/>
  <c r="AK722" i="4"/>
  <c r="AJ722" i="4"/>
  <c r="AH722" i="4"/>
  <c r="AG722" i="4"/>
  <c r="AF722" i="4"/>
  <c r="AC722" i="4"/>
  <c r="AB722" i="4"/>
  <c r="Z722" i="4"/>
  <c r="I722" i="4"/>
  <c r="AL722" i="4" s="1"/>
  <c r="BJ719" i="4"/>
  <c r="BF719" i="4"/>
  <c r="BD719" i="4"/>
  <c r="AX719" i="4"/>
  <c r="AW719" i="4"/>
  <c r="AP719" i="4"/>
  <c r="BI719" i="4" s="1"/>
  <c r="AE719" i="4" s="1"/>
  <c r="AO719" i="4"/>
  <c r="BH719" i="4" s="1"/>
  <c r="AL719" i="4"/>
  <c r="AK719" i="4"/>
  <c r="AJ719" i="4"/>
  <c r="AH719" i="4"/>
  <c r="AG719" i="4"/>
  <c r="AF719" i="4"/>
  <c r="AD719" i="4"/>
  <c r="AC719" i="4"/>
  <c r="AB719" i="4"/>
  <c r="Z719" i="4"/>
  <c r="I719" i="4"/>
  <c r="BJ716" i="4"/>
  <c r="BF716" i="4"/>
  <c r="BD716" i="4"/>
  <c r="AW716" i="4"/>
  <c r="AP716" i="4"/>
  <c r="AO716" i="4"/>
  <c r="BH716" i="4" s="1"/>
  <c r="AD716" i="4" s="1"/>
  <c r="AK716" i="4"/>
  <c r="AJ716" i="4"/>
  <c r="AH716" i="4"/>
  <c r="AG716" i="4"/>
  <c r="AF716" i="4"/>
  <c r="AC716" i="4"/>
  <c r="AB716" i="4"/>
  <c r="Z716" i="4"/>
  <c r="I716" i="4"/>
  <c r="AL716" i="4" s="1"/>
  <c r="BJ713" i="4"/>
  <c r="BI713" i="4"/>
  <c r="AE713" i="4" s="1"/>
  <c r="BF713" i="4"/>
  <c r="BD713" i="4"/>
  <c r="AP713" i="4"/>
  <c r="AX713" i="4" s="1"/>
  <c r="AO713" i="4"/>
  <c r="AK713" i="4"/>
  <c r="AJ713" i="4"/>
  <c r="AH713" i="4"/>
  <c r="AG713" i="4"/>
  <c r="AF713" i="4"/>
  <c r="AC713" i="4"/>
  <c r="AB713" i="4"/>
  <c r="Z713" i="4"/>
  <c r="I713" i="4"/>
  <c r="AL713" i="4" s="1"/>
  <c r="BJ710" i="4"/>
  <c r="BH710" i="4"/>
  <c r="AD710" i="4" s="1"/>
  <c r="BF710" i="4"/>
  <c r="BD710" i="4"/>
  <c r="AP710" i="4"/>
  <c r="AO710" i="4"/>
  <c r="AW710" i="4" s="1"/>
  <c r="AL710" i="4"/>
  <c r="AK710" i="4"/>
  <c r="AJ710" i="4"/>
  <c r="AH710" i="4"/>
  <c r="AG710" i="4"/>
  <c r="AF710" i="4"/>
  <c r="AC710" i="4"/>
  <c r="AB710" i="4"/>
  <c r="Z710" i="4"/>
  <c r="I710" i="4"/>
  <c r="BJ707" i="4"/>
  <c r="BF707" i="4"/>
  <c r="BD707" i="4"/>
  <c r="AP707" i="4"/>
  <c r="AX707" i="4" s="1"/>
  <c r="AO707" i="4"/>
  <c r="AK707" i="4"/>
  <c r="AJ707" i="4"/>
  <c r="AH707" i="4"/>
  <c r="AG707" i="4"/>
  <c r="AF707" i="4"/>
  <c r="AC707" i="4"/>
  <c r="AB707" i="4"/>
  <c r="Z707" i="4"/>
  <c r="I707" i="4"/>
  <c r="AL707" i="4" s="1"/>
  <c r="BJ704" i="4"/>
  <c r="BI704" i="4"/>
  <c r="AE704" i="4" s="1"/>
  <c r="BF704" i="4"/>
  <c r="BD704" i="4"/>
  <c r="AX704" i="4"/>
  <c r="AP704" i="4"/>
  <c r="AO704" i="4"/>
  <c r="AW704" i="4" s="1"/>
  <c r="AL704" i="4"/>
  <c r="AK704" i="4"/>
  <c r="AJ704" i="4"/>
  <c r="AH704" i="4"/>
  <c r="AG704" i="4"/>
  <c r="AF704" i="4"/>
  <c r="AC704" i="4"/>
  <c r="AB704" i="4"/>
  <c r="Z704" i="4"/>
  <c r="I704" i="4"/>
  <c r="BJ701" i="4"/>
  <c r="BI701" i="4"/>
  <c r="BH701" i="4"/>
  <c r="AD701" i="4" s="1"/>
  <c r="BF701" i="4"/>
  <c r="BD701" i="4"/>
  <c r="BC701" i="4"/>
  <c r="AX701" i="4"/>
  <c r="AW701" i="4"/>
  <c r="AV701" i="4" s="1"/>
  <c r="AP701" i="4"/>
  <c r="AO701" i="4"/>
  <c r="AL701" i="4"/>
  <c r="AK701" i="4"/>
  <c r="AJ701" i="4"/>
  <c r="AH701" i="4"/>
  <c r="AG701" i="4"/>
  <c r="AF701" i="4"/>
  <c r="AE701" i="4"/>
  <c r="AC701" i="4"/>
  <c r="AB701" i="4"/>
  <c r="Z701" i="4"/>
  <c r="I701" i="4"/>
  <c r="BJ698" i="4"/>
  <c r="BI698" i="4"/>
  <c r="AE698" i="4" s="1"/>
  <c r="BH698" i="4"/>
  <c r="BF698" i="4"/>
  <c r="BD698" i="4"/>
  <c r="AX698" i="4"/>
  <c r="AW698" i="4"/>
  <c r="AP698" i="4"/>
  <c r="AO698" i="4"/>
  <c r="AK698" i="4"/>
  <c r="AJ698" i="4"/>
  <c r="AH698" i="4"/>
  <c r="AG698" i="4"/>
  <c r="AF698" i="4"/>
  <c r="AD698" i="4"/>
  <c r="AC698" i="4"/>
  <c r="AB698" i="4"/>
  <c r="Z698" i="4"/>
  <c r="I698" i="4"/>
  <c r="AL698" i="4" s="1"/>
  <c r="BJ695" i="4"/>
  <c r="BI695" i="4"/>
  <c r="AE695" i="4" s="1"/>
  <c r="BH695" i="4"/>
  <c r="AD695" i="4" s="1"/>
  <c r="BF695" i="4"/>
  <c r="BD695" i="4"/>
  <c r="AX695" i="4"/>
  <c r="AW695" i="4"/>
  <c r="AP695" i="4"/>
  <c r="AO695" i="4"/>
  <c r="AL695" i="4"/>
  <c r="AK695" i="4"/>
  <c r="AJ695" i="4"/>
  <c r="AH695" i="4"/>
  <c r="AG695" i="4"/>
  <c r="AF695" i="4"/>
  <c r="AC695" i="4"/>
  <c r="AB695" i="4"/>
  <c r="Z695" i="4"/>
  <c r="I695" i="4"/>
  <c r="BJ692" i="4"/>
  <c r="BH692" i="4"/>
  <c r="AD692" i="4" s="1"/>
  <c r="BF692" i="4"/>
  <c r="BD692" i="4"/>
  <c r="AW692" i="4"/>
  <c r="AP692" i="4"/>
  <c r="BI692" i="4" s="1"/>
  <c r="AO692" i="4"/>
  <c r="AK692" i="4"/>
  <c r="AJ692" i="4"/>
  <c r="AH692" i="4"/>
  <c r="AG692" i="4"/>
  <c r="AF692" i="4"/>
  <c r="AE692" i="4"/>
  <c r="AC692" i="4"/>
  <c r="AB692" i="4"/>
  <c r="Z692" i="4"/>
  <c r="I692" i="4"/>
  <c r="AL692" i="4" s="1"/>
  <c r="BJ689" i="4"/>
  <c r="BF689" i="4"/>
  <c r="BD689" i="4"/>
  <c r="AX689" i="4"/>
  <c r="AP689" i="4"/>
  <c r="BI689" i="4" s="1"/>
  <c r="AE689" i="4" s="1"/>
  <c r="AO689" i="4"/>
  <c r="BH689" i="4" s="1"/>
  <c r="AD689" i="4" s="1"/>
  <c r="AK689" i="4"/>
  <c r="AJ689" i="4"/>
  <c r="AH689" i="4"/>
  <c r="AG689" i="4"/>
  <c r="AF689" i="4"/>
  <c r="AC689" i="4"/>
  <c r="AB689" i="4"/>
  <c r="Z689" i="4"/>
  <c r="I689" i="4"/>
  <c r="AL689" i="4" s="1"/>
  <c r="BJ686" i="4"/>
  <c r="BF686" i="4"/>
  <c r="BD686" i="4"/>
  <c r="BC686" i="4"/>
  <c r="AX686" i="4"/>
  <c r="AW686" i="4"/>
  <c r="AV686" i="4" s="1"/>
  <c r="AP686" i="4"/>
  <c r="BI686" i="4" s="1"/>
  <c r="AO686" i="4"/>
  <c r="BH686" i="4" s="1"/>
  <c r="AD686" i="4" s="1"/>
  <c r="AK686" i="4"/>
  <c r="AJ686" i="4"/>
  <c r="AH686" i="4"/>
  <c r="AG686" i="4"/>
  <c r="AF686" i="4"/>
  <c r="AE686" i="4"/>
  <c r="AC686" i="4"/>
  <c r="AB686" i="4"/>
  <c r="Z686" i="4"/>
  <c r="I686" i="4"/>
  <c r="AL686" i="4" s="1"/>
  <c r="BJ683" i="4"/>
  <c r="BF683" i="4"/>
  <c r="BD683" i="4"/>
  <c r="AX683" i="4"/>
  <c r="BC683" i="4" s="1"/>
  <c r="AW683" i="4"/>
  <c r="AV683" i="4"/>
  <c r="AP683" i="4"/>
  <c r="BI683" i="4" s="1"/>
  <c r="AE683" i="4" s="1"/>
  <c r="AO683" i="4"/>
  <c r="BH683" i="4" s="1"/>
  <c r="AD683" i="4" s="1"/>
  <c r="AL683" i="4"/>
  <c r="AK683" i="4"/>
  <c r="AJ683" i="4"/>
  <c r="AH683" i="4"/>
  <c r="AG683" i="4"/>
  <c r="AF683" i="4"/>
  <c r="AC683" i="4"/>
  <c r="AB683" i="4"/>
  <c r="Z683" i="4"/>
  <c r="I683" i="4"/>
  <c r="BJ680" i="4"/>
  <c r="BF680" i="4"/>
  <c r="BD680" i="4"/>
  <c r="AW680" i="4"/>
  <c r="AP680" i="4"/>
  <c r="AO680" i="4"/>
  <c r="BH680" i="4" s="1"/>
  <c r="AD680" i="4" s="1"/>
  <c r="AK680" i="4"/>
  <c r="AJ680" i="4"/>
  <c r="AH680" i="4"/>
  <c r="AG680" i="4"/>
  <c r="AF680" i="4"/>
  <c r="AC680" i="4"/>
  <c r="AB680" i="4"/>
  <c r="Z680" i="4"/>
  <c r="I680" i="4"/>
  <c r="AL680" i="4" s="1"/>
  <c r="BJ677" i="4"/>
  <c r="BI677" i="4"/>
  <c r="AE677" i="4" s="1"/>
  <c r="BF677" i="4"/>
  <c r="BD677" i="4"/>
  <c r="AP677" i="4"/>
  <c r="AX677" i="4" s="1"/>
  <c r="AO677" i="4"/>
  <c r="AK677" i="4"/>
  <c r="AJ677" i="4"/>
  <c r="AH677" i="4"/>
  <c r="AG677" i="4"/>
  <c r="AF677" i="4"/>
  <c r="AC677" i="4"/>
  <c r="AB677" i="4"/>
  <c r="Z677" i="4"/>
  <c r="I677" i="4"/>
  <c r="AL677" i="4" s="1"/>
  <c r="BJ675" i="4"/>
  <c r="BH675" i="4"/>
  <c r="AD675" i="4" s="1"/>
  <c r="BF675" i="4"/>
  <c r="BD675" i="4"/>
  <c r="AP675" i="4"/>
  <c r="AO675" i="4"/>
  <c r="AW675" i="4" s="1"/>
  <c r="AL675" i="4"/>
  <c r="AK675" i="4"/>
  <c r="AJ675" i="4"/>
  <c r="AH675" i="4"/>
  <c r="AG675" i="4"/>
  <c r="AF675" i="4"/>
  <c r="AC675" i="4"/>
  <c r="AB675" i="4"/>
  <c r="Z675" i="4"/>
  <c r="I675" i="4"/>
  <c r="BJ673" i="4"/>
  <c r="BF673" i="4"/>
  <c r="BD673" i="4"/>
  <c r="AP673" i="4"/>
  <c r="AX673" i="4" s="1"/>
  <c r="AO673" i="4"/>
  <c r="AK673" i="4"/>
  <c r="AJ673" i="4"/>
  <c r="AH673" i="4"/>
  <c r="AG673" i="4"/>
  <c r="AF673" i="4"/>
  <c r="AC673" i="4"/>
  <c r="AB673" i="4"/>
  <c r="Z673" i="4"/>
  <c r="I673" i="4"/>
  <c r="AL673" i="4" s="1"/>
  <c r="AU670" i="4" s="1"/>
  <c r="BJ671" i="4"/>
  <c r="BI671" i="4"/>
  <c r="AE671" i="4" s="1"/>
  <c r="BF671" i="4"/>
  <c r="BD671" i="4"/>
  <c r="AX671" i="4"/>
  <c r="AP671" i="4"/>
  <c r="AO671" i="4"/>
  <c r="AW671" i="4" s="1"/>
  <c r="AL671" i="4"/>
  <c r="AK671" i="4"/>
  <c r="AJ671" i="4"/>
  <c r="AS670" i="4" s="1"/>
  <c r="AH671" i="4"/>
  <c r="AG671" i="4"/>
  <c r="AF671" i="4"/>
  <c r="AC671" i="4"/>
  <c r="AB671" i="4"/>
  <c r="Z671" i="4"/>
  <c r="I671" i="4"/>
  <c r="BJ669" i="4"/>
  <c r="BI669" i="4"/>
  <c r="BF669" i="4"/>
  <c r="BD669" i="4"/>
  <c r="AP669" i="4"/>
  <c r="AX669" i="4" s="1"/>
  <c r="AO669" i="4"/>
  <c r="AK669" i="4"/>
  <c r="AJ669" i="4"/>
  <c r="AH669" i="4"/>
  <c r="AG669" i="4"/>
  <c r="AF669" i="4"/>
  <c r="AE669" i="4"/>
  <c r="AD669" i="4"/>
  <c r="AC669" i="4"/>
  <c r="AB669" i="4"/>
  <c r="Z669" i="4"/>
  <c r="I669" i="4"/>
  <c r="AL669" i="4" s="1"/>
  <c r="BJ667" i="4"/>
  <c r="BH667" i="4"/>
  <c r="AD667" i="4" s="1"/>
  <c r="BF667" i="4"/>
  <c r="BD667" i="4"/>
  <c r="AP667" i="4"/>
  <c r="AO667" i="4"/>
  <c r="AW667" i="4" s="1"/>
  <c r="AL667" i="4"/>
  <c r="AK667" i="4"/>
  <c r="AJ667" i="4"/>
  <c r="AH667" i="4"/>
  <c r="AG667" i="4"/>
  <c r="AF667" i="4"/>
  <c r="AC667" i="4"/>
  <c r="AB667" i="4"/>
  <c r="Z667" i="4"/>
  <c r="I667" i="4"/>
  <c r="BJ664" i="4"/>
  <c r="BF664" i="4"/>
  <c r="BD664" i="4"/>
  <c r="AP664" i="4"/>
  <c r="AX664" i="4" s="1"/>
  <c r="AO664" i="4"/>
  <c r="AK664" i="4"/>
  <c r="AJ664" i="4"/>
  <c r="AH664" i="4"/>
  <c r="AG664" i="4"/>
  <c r="AF664" i="4"/>
  <c r="AC664" i="4"/>
  <c r="AB664" i="4"/>
  <c r="Z664" i="4"/>
  <c r="I664" i="4"/>
  <c r="AL664" i="4" s="1"/>
  <c r="BJ661" i="4"/>
  <c r="BI661" i="4"/>
  <c r="AE661" i="4" s="1"/>
  <c r="BF661" i="4"/>
  <c r="BD661" i="4"/>
  <c r="AX661" i="4"/>
  <c r="AP661" i="4"/>
  <c r="AO661" i="4"/>
  <c r="AW661" i="4" s="1"/>
  <c r="AL661" i="4"/>
  <c r="AK661" i="4"/>
  <c r="AJ661" i="4"/>
  <c r="AH661" i="4"/>
  <c r="AG661" i="4"/>
  <c r="AF661" i="4"/>
  <c r="AC661" i="4"/>
  <c r="AB661" i="4"/>
  <c r="Z661" i="4"/>
  <c r="I661" i="4"/>
  <c r="BJ658" i="4"/>
  <c r="BI658" i="4"/>
  <c r="BH658" i="4"/>
  <c r="AD658" i="4" s="1"/>
  <c r="BF658" i="4"/>
  <c r="BD658" i="4"/>
  <c r="BC658" i="4"/>
  <c r="AX658" i="4"/>
  <c r="AW658" i="4"/>
  <c r="AV658" i="4" s="1"/>
  <c r="AP658" i="4"/>
  <c r="AO658" i="4"/>
  <c r="AL658" i="4"/>
  <c r="AK658" i="4"/>
  <c r="AJ658" i="4"/>
  <c r="AH658" i="4"/>
  <c r="AG658" i="4"/>
  <c r="AF658" i="4"/>
  <c r="AE658" i="4"/>
  <c r="AC658" i="4"/>
  <c r="AB658" i="4"/>
  <c r="Z658" i="4"/>
  <c r="I658" i="4"/>
  <c r="BJ655" i="4"/>
  <c r="BI655" i="4"/>
  <c r="AE655" i="4" s="1"/>
  <c r="BH655" i="4"/>
  <c r="BF655" i="4"/>
  <c r="BD655" i="4"/>
  <c r="AX655" i="4"/>
  <c r="AW655" i="4"/>
  <c r="AP655" i="4"/>
  <c r="AO655" i="4"/>
  <c r="AK655" i="4"/>
  <c r="AJ655" i="4"/>
  <c r="AH655" i="4"/>
  <c r="AG655" i="4"/>
  <c r="AF655" i="4"/>
  <c r="AD655" i="4"/>
  <c r="AC655" i="4"/>
  <c r="AB655" i="4"/>
  <c r="Z655" i="4"/>
  <c r="I655" i="4"/>
  <c r="AL655" i="4" s="1"/>
  <c r="BJ653" i="4"/>
  <c r="BI653" i="4"/>
  <c r="AE653" i="4" s="1"/>
  <c r="BH653" i="4"/>
  <c r="AD653" i="4" s="1"/>
  <c r="BF653" i="4"/>
  <c r="BD653" i="4"/>
  <c r="AX653" i="4"/>
  <c r="AW653" i="4"/>
  <c r="AP653" i="4"/>
  <c r="AO653" i="4"/>
  <c r="AL653" i="4"/>
  <c r="AK653" i="4"/>
  <c r="AJ653" i="4"/>
  <c r="AH653" i="4"/>
  <c r="AG653" i="4"/>
  <c r="AF653" i="4"/>
  <c r="AC653" i="4"/>
  <c r="AB653" i="4"/>
  <c r="Z653" i="4"/>
  <c r="I653" i="4"/>
  <c r="BJ649" i="4"/>
  <c r="BH649" i="4"/>
  <c r="AD649" i="4" s="1"/>
  <c r="BF649" i="4"/>
  <c r="BD649" i="4"/>
  <c r="AW649" i="4"/>
  <c r="AP649" i="4"/>
  <c r="BI649" i="4" s="1"/>
  <c r="AO649" i="4"/>
  <c r="AK649" i="4"/>
  <c r="AJ649" i="4"/>
  <c r="AH649" i="4"/>
  <c r="AG649" i="4"/>
  <c r="AF649" i="4"/>
  <c r="AE649" i="4"/>
  <c r="AC649" i="4"/>
  <c r="AB649" i="4"/>
  <c r="Z649" i="4"/>
  <c r="I649" i="4"/>
  <c r="AL649" i="4" s="1"/>
  <c r="BJ646" i="4"/>
  <c r="BF646" i="4"/>
  <c r="BD646" i="4"/>
  <c r="AX646" i="4"/>
  <c r="AP646" i="4"/>
  <c r="BI646" i="4" s="1"/>
  <c r="AE646" i="4" s="1"/>
  <c r="AO646" i="4"/>
  <c r="BH646" i="4" s="1"/>
  <c r="AD646" i="4" s="1"/>
  <c r="AK646" i="4"/>
  <c r="AJ646" i="4"/>
  <c r="AH646" i="4"/>
  <c r="AG646" i="4"/>
  <c r="AF646" i="4"/>
  <c r="AC646" i="4"/>
  <c r="AB646" i="4"/>
  <c r="Z646" i="4"/>
  <c r="I646" i="4"/>
  <c r="AL646" i="4" s="1"/>
  <c r="BJ643" i="4"/>
  <c r="BF643" i="4"/>
  <c r="BD643" i="4"/>
  <c r="BC643" i="4"/>
  <c r="AX643" i="4"/>
  <c r="AW643" i="4"/>
  <c r="AV643" i="4" s="1"/>
  <c r="AP643" i="4"/>
  <c r="BI643" i="4" s="1"/>
  <c r="AO643" i="4"/>
  <c r="BH643" i="4" s="1"/>
  <c r="AD643" i="4" s="1"/>
  <c r="AK643" i="4"/>
  <c r="AJ643" i="4"/>
  <c r="AH643" i="4"/>
  <c r="AG643" i="4"/>
  <c r="AF643" i="4"/>
  <c r="AE643" i="4"/>
  <c r="AC643" i="4"/>
  <c r="AB643" i="4"/>
  <c r="Z643" i="4"/>
  <c r="I643" i="4"/>
  <c r="AL643" i="4" s="1"/>
  <c r="BJ640" i="4"/>
  <c r="BF640" i="4"/>
  <c r="BD640" i="4"/>
  <c r="BC640" i="4"/>
  <c r="AX640" i="4"/>
  <c r="AW640" i="4"/>
  <c r="AV640" i="4"/>
  <c r="AP640" i="4"/>
  <c r="BI640" i="4" s="1"/>
  <c r="AE640" i="4" s="1"/>
  <c r="AO640" i="4"/>
  <c r="BH640" i="4" s="1"/>
  <c r="AD640" i="4" s="1"/>
  <c r="AL640" i="4"/>
  <c r="AK640" i="4"/>
  <c r="AJ640" i="4"/>
  <c r="AH640" i="4"/>
  <c r="AG640" i="4"/>
  <c r="AF640" i="4"/>
  <c r="AC640" i="4"/>
  <c r="AB640" i="4"/>
  <c r="Z640" i="4"/>
  <c r="I640" i="4"/>
  <c r="BJ638" i="4"/>
  <c r="BF638" i="4"/>
  <c r="BD638" i="4"/>
  <c r="AW638" i="4"/>
  <c r="AP638" i="4"/>
  <c r="BI638" i="4" s="1"/>
  <c r="AE638" i="4" s="1"/>
  <c r="AO638" i="4"/>
  <c r="BH638" i="4" s="1"/>
  <c r="AK638" i="4"/>
  <c r="AJ638" i="4"/>
  <c r="AH638" i="4"/>
  <c r="AG638" i="4"/>
  <c r="AF638" i="4"/>
  <c r="AD638" i="4"/>
  <c r="AC638" i="4"/>
  <c r="AB638" i="4"/>
  <c r="Z638" i="4"/>
  <c r="I638" i="4"/>
  <c r="AL638" i="4" s="1"/>
  <c r="BJ636" i="4"/>
  <c r="BI636" i="4"/>
  <c r="AE636" i="4" s="1"/>
  <c r="BF636" i="4"/>
  <c r="BD636" i="4"/>
  <c r="AP636" i="4"/>
  <c r="AX636" i="4" s="1"/>
  <c r="AO636" i="4"/>
  <c r="BH636" i="4" s="1"/>
  <c r="AD636" i="4" s="1"/>
  <c r="AK636" i="4"/>
  <c r="AJ636" i="4"/>
  <c r="AH636" i="4"/>
  <c r="AG636" i="4"/>
  <c r="AF636" i="4"/>
  <c r="AC636" i="4"/>
  <c r="AB636" i="4"/>
  <c r="Z636" i="4"/>
  <c r="I636" i="4"/>
  <c r="AL636" i="4" s="1"/>
  <c r="BJ632" i="4"/>
  <c r="BH632" i="4"/>
  <c r="AD632" i="4" s="1"/>
  <c r="BF632" i="4"/>
  <c r="BD632" i="4"/>
  <c r="AP632" i="4"/>
  <c r="AO632" i="4"/>
  <c r="AW632" i="4" s="1"/>
  <c r="AL632" i="4"/>
  <c r="AK632" i="4"/>
  <c r="AJ632" i="4"/>
  <c r="AH632" i="4"/>
  <c r="AG632" i="4"/>
  <c r="AF632" i="4"/>
  <c r="AC632" i="4"/>
  <c r="AB632" i="4"/>
  <c r="Z632" i="4"/>
  <c r="I632" i="4"/>
  <c r="BJ629" i="4"/>
  <c r="BF629" i="4"/>
  <c r="BD629" i="4"/>
  <c r="AP629" i="4"/>
  <c r="AO629" i="4"/>
  <c r="AK629" i="4"/>
  <c r="AJ629" i="4"/>
  <c r="AH629" i="4"/>
  <c r="AG629" i="4"/>
  <c r="AF629" i="4"/>
  <c r="AC629" i="4"/>
  <c r="AB629" i="4"/>
  <c r="Z629" i="4"/>
  <c r="I629" i="4"/>
  <c r="AL629" i="4" s="1"/>
  <c r="BJ626" i="4"/>
  <c r="BI626" i="4"/>
  <c r="AE626" i="4" s="1"/>
  <c r="BF626" i="4"/>
  <c r="BD626" i="4"/>
  <c r="AX626" i="4"/>
  <c r="AP626" i="4"/>
  <c r="AO626" i="4"/>
  <c r="AL626" i="4"/>
  <c r="AK626" i="4"/>
  <c r="AJ626" i="4"/>
  <c r="AH626" i="4"/>
  <c r="AG626" i="4"/>
  <c r="AF626" i="4"/>
  <c r="AC626" i="4"/>
  <c r="AB626" i="4"/>
  <c r="Z626" i="4"/>
  <c r="I626" i="4"/>
  <c r="BJ623" i="4"/>
  <c r="BI623" i="4"/>
  <c r="BH623" i="4"/>
  <c r="AD623" i="4" s="1"/>
  <c r="BF623" i="4"/>
  <c r="BD623" i="4"/>
  <c r="BC623" i="4"/>
  <c r="AX623" i="4"/>
  <c r="AW623" i="4"/>
  <c r="AV623" i="4" s="1"/>
  <c r="AP623" i="4"/>
  <c r="AO623" i="4"/>
  <c r="AL623" i="4"/>
  <c r="AK623" i="4"/>
  <c r="AJ623" i="4"/>
  <c r="AH623" i="4"/>
  <c r="AG623" i="4"/>
  <c r="AF623" i="4"/>
  <c r="AE623" i="4"/>
  <c r="AC623" i="4"/>
  <c r="AB623" i="4"/>
  <c r="Z623" i="4"/>
  <c r="I623" i="4"/>
  <c r="BJ618" i="4"/>
  <c r="BI618" i="4"/>
  <c r="AE618" i="4" s="1"/>
  <c r="BH618" i="4"/>
  <c r="BF618" i="4"/>
  <c r="BD618" i="4"/>
  <c r="AX618" i="4"/>
  <c r="AW618" i="4"/>
  <c r="AP618" i="4"/>
  <c r="AO618" i="4"/>
  <c r="AK618" i="4"/>
  <c r="AJ618" i="4"/>
  <c r="AS617" i="4" s="1"/>
  <c r="AH618" i="4"/>
  <c r="AG618" i="4"/>
  <c r="AF618" i="4"/>
  <c r="AD618" i="4"/>
  <c r="AC618" i="4"/>
  <c r="AB618" i="4"/>
  <c r="Z618" i="4"/>
  <c r="I618" i="4"/>
  <c r="AL618" i="4" s="1"/>
  <c r="BJ616" i="4"/>
  <c r="Z616" i="4" s="1"/>
  <c r="BF616" i="4"/>
  <c r="BD616" i="4"/>
  <c r="AP616" i="4"/>
  <c r="AO616" i="4"/>
  <c r="AK616" i="4"/>
  <c r="AJ616" i="4"/>
  <c r="AH616" i="4"/>
  <c r="AG616" i="4"/>
  <c r="AF616" i="4"/>
  <c r="AE616" i="4"/>
  <c r="AD616" i="4"/>
  <c r="AC616" i="4"/>
  <c r="AB616" i="4"/>
  <c r="I616" i="4"/>
  <c r="AL616" i="4" s="1"/>
  <c r="BJ614" i="4"/>
  <c r="BI614" i="4"/>
  <c r="BF614" i="4"/>
  <c r="BD614" i="4"/>
  <c r="AX614" i="4"/>
  <c r="AP614" i="4"/>
  <c r="AO614" i="4"/>
  <c r="AK614" i="4"/>
  <c r="AJ614" i="4"/>
  <c r="AH614" i="4"/>
  <c r="AG614" i="4"/>
  <c r="AF614" i="4"/>
  <c r="AE614" i="4"/>
  <c r="AC614" i="4"/>
  <c r="AB614" i="4"/>
  <c r="Z614" i="4"/>
  <c r="I614" i="4"/>
  <c r="AL614" i="4" s="1"/>
  <c r="BJ612" i="4"/>
  <c r="BI612" i="4"/>
  <c r="BH612" i="4"/>
  <c r="BF612" i="4"/>
  <c r="BD612" i="4"/>
  <c r="BC612" i="4"/>
  <c r="AX612" i="4"/>
  <c r="AW612" i="4"/>
  <c r="AV612" i="4" s="1"/>
  <c r="AP612" i="4"/>
  <c r="AO612" i="4"/>
  <c r="AL612" i="4"/>
  <c r="AK612" i="4"/>
  <c r="AJ612" i="4"/>
  <c r="AH612" i="4"/>
  <c r="AG612" i="4"/>
  <c r="AF612" i="4"/>
  <c r="AE612" i="4"/>
  <c r="AD612" i="4"/>
  <c r="AC612" i="4"/>
  <c r="AB612" i="4"/>
  <c r="Z612" i="4"/>
  <c r="I612" i="4"/>
  <c r="BJ609" i="4"/>
  <c r="BI609" i="4"/>
  <c r="AE609" i="4" s="1"/>
  <c r="BH609" i="4"/>
  <c r="BF609" i="4"/>
  <c r="BD609" i="4"/>
  <c r="AX609" i="4"/>
  <c r="AW609" i="4"/>
  <c r="AP609" i="4"/>
  <c r="AO609" i="4"/>
  <c r="AK609" i="4"/>
  <c r="AJ609" i="4"/>
  <c r="AH609" i="4"/>
  <c r="AG609" i="4"/>
  <c r="AF609" i="4"/>
  <c r="AD609" i="4"/>
  <c r="AC609" i="4"/>
  <c r="AB609" i="4"/>
  <c r="Z609" i="4"/>
  <c r="I609" i="4"/>
  <c r="AL609" i="4" s="1"/>
  <c r="BJ606" i="4"/>
  <c r="BI606" i="4"/>
  <c r="AE606" i="4" s="1"/>
  <c r="BH606" i="4"/>
  <c r="AD606" i="4" s="1"/>
  <c r="BF606" i="4"/>
  <c r="BD606" i="4"/>
  <c r="AX606" i="4"/>
  <c r="AW606" i="4"/>
  <c r="BC606" i="4" s="1"/>
  <c r="AP606" i="4"/>
  <c r="AO606" i="4"/>
  <c r="AL606" i="4"/>
  <c r="AK606" i="4"/>
  <c r="AJ606" i="4"/>
  <c r="AH606" i="4"/>
  <c r="AG606" i="4"/>
  <c r="AF606" i="4"/>
  <c r="AC606" i="4"/>
  <c r="AB606" i="4"/>
  <c r="Z606" i="4"/>
  <c r="I606" i="4"/>
  <c r="BJ603" i="4"/>
  <c r="BH603" i="4"/>
  <c r="AD603" i="4" s="1"/>
  <c r="BF603" i="4"/>
  <c r="BD603" i="4"/>
  <c r="AW603" i="4"/>
  <c r="AP603" i="4"/>
  <c r="AO603" i="4"/>
  <c r="AK603" i="4"/>
  <c r="AJ603" i="4"/>
  <c r="AH603" i="4"/>
  <c r="AG603" i="4"/>
  <c r="AF603" i="4"/>
  <c r="AC603" i="4"/>
  <c r="AB603" i="4"/>
  <c r="Z603" i="4"/>
  <c r="I603" i="4"/>
  <c r="AL603" i="4" s="1"/>
  <c r="BJ601" i="4"/>
  <c r="BF601" i="4"/>
  <c r="BD601" i="4"/>
  <c r="AX601" i="4"/>
  <c r="AP601" i="4"/>
  <c r="BI601" i="4" s="1"/>
  <c r="AE601" i="4" s="1"/>
  <c r="AO601" i="4"/>
  <c r="AK601" i="4"/>
  <c r="AJ601" i="4"/>
  <c r="AH601" i="4"/>
  <c r="AG601" i="4"/>
  <c r="AF601" i="4"/>
  <c r="AC601" i="4"/>
  <c r="AB601" i="4"/>
  <c r="Z601" i="4"/>
  <c r="I601" i="4"/>
  <c r="AL601" i="4" s="1"/>
  <c r="BJ598" i="4"/>
  <c r="BF598" i="4"/>
  <c r="BD598" i="4"/>
  <c r="AX598" i="4"/>
  <c r="AP598" i="4"/>
  <c r="BI598" i="4" s="1"/>
  <c r="AO598" i="4"/>
  <c r="AK598" i="4"/>
  <c r="AJ598" i="4"/>
  <c r="AH598" i="4"/>
  <c r="AG598" i="4"/>
  <c r="AF598" i="4"/>
  <c r="AE598" i="4"/>
  <c r="AC598" i="4"/>
  <c r="AB598" i="4"/>
  <c r="Z598" i="4"/>
  <c r="I598" i="4"/>
  <c r="AL598" i="4" s="1"/>
  <c r="BJ596" i="4"/>
  <c r="BF596" i="4"/>
  <c r="BD596" i="4"/>
  <c r="BC596" i="4"/>
  <c r="AX596" i="4"/>
  <c r="AV596" i="4" s="1"/>
  <c r="AW596" i="4"/>
  <c r="AP596" i="4"/>
  <c r="BI596" i="4" s="1"/>
  <c r="AO596" i="4"/>
  <c r="BH596" i="4" s="1"/>
  <c r="AL596" i="4"/>
  <c r="AK596" i="4"/>
  <c r="AJ596" i="4"/>
  <c r="AH596" i="4"/>
  <c r="AG596" i="4"/>
  <c r="AF596" i="4"/>
  <c r="AE596" i="4"/>
  <c r="AD596" i="4"/>
  <c r="AC596" i="4"/>
  <c r="AB596" i="4"/>
  <c r="Z596" i="4"/>
  <c r="I596" i="4"/>
  <c r="BJ594" i="4"/>
  <c r="BI594" i="4"/>
  <c r="AE594" i="4" s="1"/>
  <c r="BF594" i="4"/>
  <c r="BD594" i="4"/>
  <c r="AW594" i="4"/>
  <c r="AV594" i="4"/>
  <c r="AP594" i="4"/>
  <c r="AX594" i="4" s="1"/>
  <c r="AO594" i="4"/>
  <c r="BH594" i="4" s="1"/>
  <c r="AL594" i="4"/>
  <c r="AK594" i="4"/>
  <c r="AJ594" i="4"/>
  <c r="AH594" i="4"/>
  <c r="AG594" i="4"/>
  <c r="AF594" i="4"/>
  <c r="AD594" i="4"/>
  <c r="AC594" i="4"/>
  <c r="AB594" i="4"/>
  <c r="Z594" i="4"/>
  <c r="I594" i="4"/>
  <c r="BJ591" i="4"/>
  <c r="BH591" i="4"/>
  <c r="AD591" i="4" s="1"/>
  <c r="BF591" i="4"/>
  <c r="BD591" i="4"/>
  <c r="AW591" i="4"/>
  <c r="AP591" i="4"/>
  <c r="AO591" i="4"/>
  <c r="AK591" i="4"/>
  <c r="AJ591" i="4"/>
  <c r="AH591" i="4"/>
  <c r="AG591" i="4"/>
  <c r="AF591" i="4"/>
  <c r="AC591" i="4"/>
  <c r="AB591" i="4"/>
  <c r="Z591" i="4"/>
  <c r="I591" i="4"/>
  <c r="AL591" i="4" s="1"/>
  <c r="BJ589" i="4"/>
  <c r="BH589" i="4"/>
  <c r="AD589" i="4" s="1"/>
  <c r="BF589" i="4"/>
  <c r="BD589" i="4"/>
  <c r="AP589" i="4"/>
  <c r="AO589" i="4"/>
  <c r="AW589" i="4" s="1"/>
  <c r="AK589" i="4"/>
  <c r="AJ589" i="4"/>
  <c r="AH589" i="4"/>
  <c r="AG589" i="4"/>
  <c r="AF589" i="4"/>
  <c r="AC589" i="4"/>
  <c r="AB589" i="4"/>
  <c r="Z589" i="4"/>
  <c r="I589" i="4"/>
  <c r="BJ587" i="4"/>
  <c r="BF587" i="4"/>
  <c r="BD587" i="4"/>
  <c r="AP587" i="4"/>
  <c r="AO587" i="4"/>
  <c r="AK587" i="4"/>
  <c r="AJ587" i="4"/>
  <c r="AH587" i="4"/>
  <c r="AG587" i="4"/>
  <c r="AF587" i="4"/>
  <c r="AC587" i="4"/>
  <c r="AB587" i="4"/>
  <c r="Z587" i="4"/>
  <c r="I587" i="4"/>
  <c r="AL587" i="4" s="1"/>
  <c r="BJ586" i="4"/>
  <c r="BI586" i="4"/>
  <c r="AE586" i="4" s="1"/>
  <c r="BF586" i="4"/>
  <c r="BD586" i="4"/>
  <c r="AX586" i="4"/>
  <c r="AP586" i="4"/>
  <c r="AO586" i="4"/>
  <c r="AL586" i="4"/>
  <c r="AK586" i="4"/>
  <c r="AJ586" i="4"/>
  <c r="AH586" i="4"/>
  <c r="AG586" i="4"/>
  <c r="AF586" i="4"/>
  <c r="AC586" i="4"/>
  <c r="AB586" i="4"/>
  <c r="Z586" i="4"/>
  <c r="I586" i="4"/>
  <c r="BJ584" i="4"/>
  <c r="BI584" i="4"/>
  <c r="AE584" i="4" s="1"/>
  <c r="BH584" i="4"/>
  <c r="BF584" i="4"/>
  <c r="BD584" i="4"/>
  <c r="BC584" i="4"/>
  <c r="AX584" i="4"/>
  <c r="AW584" i="4"/>
  <c r="AP584" i="4"/>
  <c r="AO584" i="4"/>
  <c r="AL584" i="4"/>
  <c r="AK584" i="4"/>
  <c r="AJ584" i="4"/>
  <c r="AH584" i="4"/>
  <c r="AG584" i="4"/>
  <c r="AF584" i="4"/>
  <c r="AD584" i="4"/>
  <c r="AC584" i="4"/>
  <c r="AB584" i="4"/>
  <c r="Z584" i="4"/>
  <c r="I584" i="4"/>
  <c r="BJ580" i="4"/>
  <c r="BI580" i="4"/>
  <c r="BH580" i="4"/>
  <c r="AD580" i="4" s="1"/>
  <c r="BF580" i="4"/>
  <c r="BD580" i="4"/>
  <c r="AX580" i="4"/>
  <c r="AP580" i="4"/>
  <c r="AO580" i="4"/>
  <c r="AW580" i="4" s="1"/>
  <c r="AK580" i="4"/>
  <c r="AJ580" i="4"/>
  <c r="AS573" i="4" s="1"/>
  <c r="AH580" i="4"/>
  <c r="AG580" i="4"/>
  <c r="AF580" i="4"/>
  <c r="AE580" i="4"/>
  <c r="AC580" i="4"/>
  <c r="AB580" i="4"/>
  <c r="Z580" i="4"/>
  <c r="I580" i="4"/>
  <c r="AL580" i="4" s="1"/>
  <c r="BJ574" i="4"/>
  <c r="BH574" i="4"/>
  <c r="AD574" i="4" s="1"/>
  <c r="BF574" i="4"/>
  <c r="BD574" i="4"/>
  <c r="AW574" i="4"/>
  <c r="AP574" i="4"/>
  <c r="BI574" i="4" s="1"/>
  <c r="AO574" i="4"/>
  <c r="AL574" i="4"/>
  <c r="AK574" i="4"/>
  <c r="AJ574" i="4"/>
  <c r="AH574" i="4"/>
  <c r="AG574" i="4"/>
  <c r="AF574" i="4"/>
  <c r="AE574" i="4"/>
  <c r="AC574" i="4"/>
  <c r="AB574" i="4"/>
  <c r="Z574" i="4"/>
  <c r="I574" i="4"/>
  <c r="BJ571" i="4"/>
  <c r="BI571" i="4"/>
  <c r="BH571" i="4"/>
  <c r="AD571" i="4" s="1"/>
  <c r="BF571" i="4"/>
  <c r="BD571" i="4"/>
  <c r="AX571" i="4"/>
  <c r="AV571" i="4"/>
  <c r="AP571" i="4"/>
  <c r="AO571" i="4"/>
  <c r="AW571" i="4" s="1"/>
  <c r="BC571" i="4" s="1"/>
  <c r="AL571" i="4"/>
  <c r="AK571" i="4"/>
  <c r="AJ571" i="4"/>
  <c r="AH571" i="4"/>
  <c r="AG571" i="4"/>
  <c r="AF571" i="4"/>
  <c r="AE571" i="4"/>
  <c r="AC571" i="4"/>
  <c r="AB571" i="4"/>
  <c r="Z571" i="4"/>
  <c r="I571" i="4"/>
  <c r="BJ569" i="4"/>
  <c r="BI569" i="4"/>
  <c r="BH569" i="4"/>
  <c r="BF569" i="4"/>
  <c r="BD569" i="4"/>
  <c r="BC569" i="4"/>
  <c r="AX569" i="4"/>
  <c r="AW569" i="4"/>
  <c r="AP569" i="4"/>
  <c r="AO569" i="4"/>
  <c r="AL569" i="4"/>
  <c r="AK569" i="4"/>
  <c r="AJ569" i="4"/>
  <c r="AH569" i="4"/>
  <c r="AG569" i="4"/>
  <c r="AF569" i="4"/>
  <c r="AE569" i="4"/>
  <c r="AD569" i="4"/>
  <c r="AC569" i="4"/>
  <c r="AB569" i="4"/>
  <c r="Z569" i="4"/>
  <c r="I569" i="4"/>
  <c r="BJ568" i="4"/>
  <c r="BI568" i="4"/>
  <c r="BH568" i="4"/>
  <c r="AD568" i="4" s="1"/>
  <c r="BF568" i="4"/>
  <c r="BD568" i="4"/>
  <c r="AX568" i="4"/>
  <c r="AW568" i="4"/>
  <c r="AP568" i="4"/>
  <c r="AO568" i="4"/>
  <c r="AK568" i="4"/>
  <c r="AJ568" i="4"/>
  <c r="AH568" i="4"/>
  <c r="AG568" i="4"/>
  <c r="AF568" i="4"/>
  <c r="AE568" i="4"/>
  <c r="AC568" i="4"/>
  <c r="AB568" i="4"/>
  <c r="Z568" i="4"/>
  <c r="I568" i="4"/>
  <c r="AL568" i="4" s="1"/>
  <c r="BJ566" i="4"/>
  <c r="BH566" i="4"/>
  <c r="BF566" i="4"/>
  <c r="BD566" i="4"/>
  <c r="AW566" i="4"/>
  <c r="AP566" i="4"/>
  <c r="BI566" i="4" s="1"/>
  <c r="AE566" i="4" s="1"/>
  <c r="AO566" i="4"/>
  <c r="AL566" i="4"/>
  <c r="AK566" i="4"/>
  <c r="AJ566" i="4"/>
  <c r="AH566" i="4"/>
  <c r="AG566" i="4"/>
  <c r="AF566" i="4"/>
  <c r="AD566" i="4"/>
  <c r="AC566" i="4"/>
  <c r="AB566" i="4"/>
  <c r="Z566" i="4"/>
  <c r="I566" i="4"/>
  <c r="BJ563" i="4"/>
  <c r="BF563" i="4"/>
  <c r="BD563" i="4"/>
  <c r="AX563" i="4"/>
  <c r="AP563" i="4"/>
  <c r="BI563" i="4" s="1"/>
  <c r="AE563" i="4" s="1"/>
  <c r="AO563" i="4"/>
  <c r="AK563" i="4"/>
  <c r="AJ563" i="4"/>
  <c r="AH563" i="4"/>
  <c r="AG563" i="4"/>
  <c r="AF563" i="4"/>
  <c r="AC563" i="4"/>
  <c r="AB563" i="4"/>
  <c r="Z563" i="4"/>
  <c r="I563" i="4"/>
  <c r="AL563" i="4" s="1"/>
  <c r="BJ560" i="4"/>
  <c r="BI560" i="4"/>
  <c r="AE560" i="4" s="1"/>
  <c r="BF560" i="4"/>
  <c r="BD560" i="4"/>
  <c r="AP560" i="4"/>
  <c r="AX560" i="4" s="1"/>
  <c r="AO560" i="4"/>
  <c r="BH560" i="4" s="1"/>
  <c r="AL560" i="4"/>
  <c r="AK560" i="4"/>
  <c r="AJ560" i="4"/>
  <c r="AS553" i="4" s="1"/>
  <c r="AH560" i="4"/>
  <c r="AG560" i="4"/>
  <c r="AF560" i="4"/>
  <c r="AD560" i="4"/>
  <c r="AC560" i="4"/>
  <c r="AB560" i="4"/>
  <c r="Z560" i="4"/>
  <c r="I560" i="4"/>
  <c r="BJ557" i="4"/>
  <c r="BH557" i="4"/>
  <c r="AD557" i="4" s="1"/>
  <c r="BF557" i="4"/>
  <c r="BD557" i="4"/>
  <c r="AW557" i="4"/>
  <c r="AP557" i="4"/>
  <c r="BI557" i="4" s="1"/>
  <c r="AO557" i="4"/>
  <c r="AL557" i="4"/>
  <c r="AK557" i="4"/>
  <c r="AJ557" i="4"/>
  <c r="AH557" i="4"/>
  <c r="AG557" i="4"/>
  <c r="AF557" i="4"/>
  <c r="AE557" i="4"/>
  <c r="AC557" i="4"/>
  <c r="AB557" i="4"/>
  <c r="Z557" i="4"/>
  <c r="I557" i="4"/>
  <c r="BJ554" i="4"/>
  <c r="BI554" i="4"/>
  <c r="BF554" i="4"/>
  <c r="BD554" i="4"/>
  <c r="AX554" i="4"/>
  <c r="AP554" i="4"/>
  <c r="AO554" i="4"/>
  <c r="BH554" i="4" s="1"/>
  <c r="AK554" i="4"/>
  <c r="AJ554" i="4"/>
  <c r="AH554" i="4"/>
  <c r="AG554" i="4"/>
  <c r="AF554" i="4"/>
  <c r="AE554" i="4"/>
  <c r="AD554" i="4"/>
  <c r="AC554" i="4"/>
  <c r="AB554" i="4"/>
  <c r="Z554" i="4"/>
  <c r="I554" i="4"/>
  <c r="I553" i="4" s="1"/>
  <c r="BJ550" i="4"/>
  <c r="BH550" i="4"/>
  <c r="BF550" i="4"/>
  <c r="BD550" i="4"/>
  <c r="AP550" i="4"/>
  <c r="BI550" i="4" s="1"/>
  <c r="AO550" i="4"/>
  <c r="AW550" i="4" s="1"/>
  <c r="AK550" i="4"/>
  <c r="AJ550" i="4"/>
  <c r="AH550" i="4"/>
  <c r="AG550" i="4"/>
  <c r="AF550" i="4"/>
  <c r="AE550" i="4"/>
  <c r="AD550" i="4"/>
  <c r="AC550" i="4"/>
  <c r="AB550" i="4"/>
  <c r="Z550" i="4"/>
  <c r="I550" i="4"/>
  <c r="AL550" i="4" s="1"/>
  <c r="AU549" i="4" s="1"/>
  <c r="AT549" i="4"/>
  <c r="AS549" i="4"/>
  <c r="I549" i="4"/>
  <c r="BJ546" i="4"/>
  <c r="BI546" i="4"/>
  <c r="AE546" i="4" s="1"/>
  <c r="BH546" i="4"/>
  <c r="BF546" i="4"/>
  <c r="BD546" i="4"/>
  <c r="AW546" i="4"/>
  <c r="AP546" i="4"/>
  <c r="AX546" i="4" s="1"/>
  <c r="BC546" i="4" s="1"/>
  <c r="AO546" i="4"/>
  <c r="AL546" i="4"/>
  <c r="AK546" i="4"/>
  <c r="AJ546" i="4"/>
  <c r="AH546" i="4"/>
  <c r="AG546" i="4"/>
  <c r="AF546" i="4"/>
  <c r="AD546" i="4"/>
  <c r="AC546" i="4"/>
  <c r="AB546" i="4"/>
  <c r="Z546" i="4"/>
  <c r="I546" i="4"/>
  <c r="AU545" i="4"/>
  <c r="AT545" i="4"/>
  <c r="AS545" i="4"/>
  <c r="I545" i="4"/>
  <c r="BJ544" i="4"/>
  <c r="Z544" i="4" s="1"/>
  <c r="BI544" i="4"/>
  <c r="BH544" i="4"/>
  <c r="BF544" i="4"/>
  <c r="BD544" i="4"/>
  <c r="AX544" i="4"/>
  <c r="AV544" i="4"/>
  <c r="AP544" i="4"/>
  <c r="AO544" i="4"/>
  <c r="AW544" i="4" s="1"/>
  <c r="AL544" i="4"/>
  <c r="AK544" i="4"/>
  <c r="AJ544" i="4"/>
  <c r="AH544" i="4"/>
  <c r="AG544" i="4"/>
  <c r="AF544" i="4"/>
  <c r="AE544" i="4"/>
  <c r="AD544" i="4"/>
  <c r="AC544" i="4"/>
  <c r="AB544" i="4"/>
  <c r="I544" i="4"/>
  <c r="BJ542" i="4"/>
  <c r="BI542" i="4"/>
  <c r="BH542" i="4"/>
  <c r="AD542" i="4" s="1"/>
  <c r="BF542" i="4"/>
  <c r="BD542" i="4"/>
  <c r="BC542" i="4"/>
  <c r="AW542" i="4"/>
  <c r="AV542" i="4" s="1"/>
  <c r="AP542" i="4"/>
  <c r="AX542" i="4" s="1"/>
  <c r="AO542" i="4"/>
  <c r="AK542" i="4"/>
  <c r="AJ542" i="4"/>
  <c r="AH542" i="4"/>
  <c r="AG542" i="4"/>
  <c r="AF542" i="4"/>
  <c r="AE542" i="4"/>
  <c r="AC542" i="4"/>
  <c r="AB542" i="4"/>
  <c r="Z542" i="4"/>
  <c r="I542" i="4"/>
  <c r="AL542" i="4" s="1"/>
  <c r="BJ539" i="4"/>
  <c r="BI539" i="4"/>
  <c r="BF539" i="4"/>
  <c r="BD539" i="4"/>
  <c r="AX539" i="4"/>
  <c r="AP539" i="4"/>
  <c r="AO539" i="4"/>
  <c r="AK539" i="4"/>
  <c r="AJ539" i="4"/>
  <c r="AH539" i="4"/>
  <c r="AG539" i="4"/>
  <c r="AF539" i="4"/>
  <c r="AE539" i="4"/>
  <c r="AC539" i="4"/>
  <c r="AB539" i="4"/>
  <c r="Z539" i="4"/>
  <c r="I539" i="4"/>
  <c r="AL539" i="4" s="1"/>
  <c r="BJ535" i="4"/>
  <c r="BI535" i="4"/>
  <c r="AE535" i="4" s="1"/>
  <c r="BH535" i="4"/>
  <c r="BF535" i="4"/>
  <c r="BD535" i="4"/>
  <c r="AX535" i="4"/>
  <c r="AW535" i="4"/>
  <c r="BC535" i="4" s="1"/>
  <c r="AV535" i="4"/>
  <c r="AP535" i="4"/>
  <c r="AO535" i="4"/>
  <c r="AL535" i="4"/>
  <c r="AK535" i="4"/>
  <c r="AJ535" i="4"/>
  <c r="AH535" i="4"/>
  <c r="AG535" i="4"/>
  <c r="AF535" i="4"/>
  <c r="AD535" i="4"/>
  <c r="AC535" i="4"/>
  <c r="AB535" i="4"/>
  <c r="Z535" i="4"/>
  <c r="I535" i="4"/>
  <c r="BJ532" i="4"/>
  <c r="BH532" i="4"/>
  <c r="AD532" i="4" s="1"/>
  <c r="BF532" i="4"/>
  <c r="BD532" i="4"/>
  <c r="AW532" i="4"/>
  <c r="AP532" i="4"/>
  <c r="AO532" i="4"/>
  <c r="AK532" i="4"/>
  <c r="AJ532" i="4"/>
  <c r="AH532" i="4"/>
  <c r="AG532" i="4"/>
  <c r="AF532" i="4"/>
  <c r="AC532" i="4"/>
  <c r="AB532" i="4"/>
  <c r="Z532" i="4"/>
  <c r="I532" i="4"/>
  <c r="AL532" i="4" s="1"/>
  <c r="BJ530" i="4"/>
  <c r="BI530" i="4"/>
  <c r="AE530" i="4" s="1"/>
  <c r="BH530" i="4"/>
  <c r="AD530" i="4" s="1"/>
  <c r="BF530" i="4"/>
  <c r="BD530" i="4"/>
  <c r="AP530" i="4"/>
  <c r="AX530" i="4" s="1"/>
  <c r="AO530" i="4"/>
  <c r="AW530" i="4" s="1"/>
  <c r="AL530" i="4"/>
  <c r="AK530" i="4"/>
  <c r="AJ530" i="4"/>
  <c r="AH530" i="4"/>
  <c r="AG530" i="4"/>
  <c r="AF530" i="4"/>
  <c r="AC530" i="4"/>
  <c r="AB530" i="4"/>
  <c r="Z530" i="4"/>
  <c r="I530" i="4"/>
  <c r="BJ528" i="4"/>
  <c r="BI528" i="4"/>
  <c r="BH528" i="4"/>
  <c r="AD528" i="4" s="1"/>
  <c r="BF528" i="4"/>
  <c r="BD528" i="4"/>
  <c r="AX528" i="4"/>
  <c r="AP528" i="4"/>
  <c r="AO528" i="4"/>
  <c r="AW528" i="4" s="1"/>
  <c r="AK528" i="4"/>
  <c r="AJ528" i="4"/>
  <c r="AH528" i="4"/>
  <c r="AG528" i="4"/>
  <c r="AF528" i="4"/>
  <c r="AE528" i="4"/>
  <c r="AC528" i="4"/>
  <c r="AB528" i="4"/>
  <c r="Z528" i="4"/>
  <c r="I528" i="4"/>
  <c r="AL528" i="4" s="1"/>
  <c r="BJ526" i="4"/>
  <c r="BI526" i="4"/>
  <c r="AE526" i="4" s="1"/>
  <c r="BH526" i="4"/>
  <c r="BF526" i="4"/>
  <c r="BD526" i="4"/>
  <c r="AX526" i="4"/>
  <c r="AV526" i="4" s="1"/>
  <c r="AW526" i="4"/>
  <c r="AP526" i="4"/>
  <c r="AO526" i="4"/>
  <c r="AL526" i="4"/>
  <c r="AK526" i="4"/>
  <c r="AJ526" i="4"/>
  <c r="AH526" i="4"/>
  <c r="AG526" i="4"/>
  <c r="AF526" i="4"/>
  <c r="AD526" i="4"/>
  <c r="AC526" i="4"/>
  <c r="AB526" i="4"/>
  <c r="Z526" i="4"/>
  <c r="I526" i="4"/>
  <c r="BJ524" i="4"/>
  <c r="BH524" i="4"/>
  <c r="AD524" i="4" s="1"/>
  <c r="BF524" i="4"/>
  <c r="BD524" i="4"/>
  <c r="AW524" i="4"/>
  <c r="AP524" i="4"/>
  <c r="BI524" i="4" s="1"/>
  <c r="AO524" i="4"/>
  <c r="AK524" i="4"/>
  <c r="AJ524" i="4"/>
  <c r="AH524" i="4"/>
  <c r="AG524" i="4"/>
  <c r="AF524" i="4"/>
  <c r="AE524" i="4"/>
  <c r="AC524" i="4"/>
  <c r="AB524" i="4"/>
  <c r="Z524" i="4"/>
  <c r="I524" i="4"/>
  <c r="AL524" i="4" s="1"/>
  <c r="BJ521" i="4"/>
  <c r="BI521" i="4"/>
  <c r="BF521" i="4"/>
  <c r="BD521" i="4"/>
  <c r="AX521" i="4"/>
  <c r="AP521" i="4"/>
  <c r="AO521" i="4"/>
  <c r="BH521" i="4" s="1"/>
  <c r="AD521" i="4" s="1"/>
  <c r="AK521" i="4"/>
  <c r="AJ521" i="4"/>
  <c r="AH521" i="4"/>
  <c r="AG521" i="4"/>
  <c r="AF521" i="4"/>
  <c r="AE521" i="4"/>
  <c r="AC521" i="4"/>
  <c r="AB521" i="4"/>
  <c r="Z521" i="4"/>
  <c r="I521" i="4"/>
  <c r="AL521" i="4" s="1"/>
  <c r="BJ519" i="4"/>
  <c r="BH519" i="4"/>
  <c r="BF519" i="4"/>
  <c r="BD519" i="4"/>
  <c r="AX519" i="4"/>
  <c r="AW519" i="4"/>
  <c r="AP519" i="4"/>
  <c r="BI519" i="4" s="1"/>
  <c r="AE519" i="4" s="1"/>
  <c r="AO519" i="4"/>
  <c r="AL519" i="4"/>
  <c r="AK519" i="4"/>
  <c r="AJ519" i="4"/>
  <c r="AH519" i="4"/>
  <c r="AG519" i="4"/>
  <c r="AF519" i="4"/>
  <c r="AD519" i="4"/>
  <c r="AC519" i="4"/>
  <c r="AB519" i="4"/>
  <c r="Z519" i="4"/>
  <c r="I519" i="4"/>
  <c r="BJ516" i="4"/>
  <c r="BF516" i="4"/>
  <c r="BD516" i="4"/>
  <c r="AW516" i="4"/>
  <c r="AP516" i="4"/>
  <c r="BI516" i="4" s="1"/>
  <c r="AE516" i="4" s="1"/>
  <c r="AO516" i="4"/>
  <c r="BH516" i="4" s="1"/>
  <c r="AD516" i="4" s="1"/>
  <c r="AK516" i="4"/>
  <c r="AJ516" i="4"/>
  <c r="AH516" i="4"/>
  <c r="AG516" i="4"/>
  <c r="AF516" i="4"/>
  <c r="AC516" i="4"/>
  <c r="AB516" i="4"/>
  <c r="Z516" i="4"/>
  <c r="I516" i="4"/>
  <c r="AL516" i="4" s="1"/>
  <c r="BJ514" i="4"/>
  <c r="BF514" i="4"/>
  <c r="BD514" i="4"/>
  <c r="AP514" i="4"/>
  <c r="BI514" i="4" s="1"/>
  <c r="AE514" i="4" s="1"/>
  <c r="AO514" i="4"/>
  <c r="BH514" i="4" s="1"/>
  <c r="AD514" i="4" s="1"/>
  <c r="AL514" i="4"/>
  <c r="AK514" i="4"/>
  <c r="AJ514" i="4"/>
  <c r="AH514" i="4"/>
  <c r="AG514" i="4"/>
  <c r="AF514" i="4"/>
  <c r="AC514" i="4"/>
  <c r="AB514" i="4"/>
  <c r="Z514" i="4"/>
  <c r="I514" i="4"/>
  <c r="BJ508" i="4"/>
  <c r="BF508" i="4"/>
  <c r="BD508" i="4"/>
  <c r="AP508" i="4"/>
  <c r="AO508" i="4"/>
  <c r="BH508" i="4" s="1"/>
  <c r="AD508" i="4" s="1"/>
  <c r="AK508" i="4"/>
  <c r="AJ508" i="4"/>
  <c r="AH508" i="4"/>
  <c r="AG508" i="4"/>
  <c r="AF508" i="4"/>
  <c r="AC508" i="4"/>
  <c r="AB508" i="4"/>
  <c r="Z508" i="4"/>
  <c r="I508" i="4"/>
  <c r="AL508" i="4" s="1"/>
  <c r="BJ506" i="4"/>
  <c r="BI506" i="4"/>
  <c r="AE506" i="4" s="1"/>
  <c r="BF506" i="4"/>
  <c r="BD506" i="4"/>
  <c r="AX506" i="4"/>
  <c r="AP506" i="4"/>
  <c r="AO506" i="4"/>
  <c r="AL506" i="4"/>
  <c r="AK506" i="4"/>
  <c r="AJ506" i="4"/>
  <c r="AH506" i="4"/>
  <c r="AG506" i="4"/>
  <c r="AF506" i="4"/>
  <c r="AC506" i="4"/>
  <c r="AB506" i="4"/>
  <c r="Z506" i="4"/>
  <c r="I506" i="4"/>
  <c r="BJ503" i="4"/>
  <c r="BH503" i="4"/>
  <c r="AD503" i="4" s="1"/>
  <c r="BF503" i="4"/>
  <c r="BD503" i="4"/>
  <c r="AW503" i="4"/>
  <c r="AP503" i="4"/>
  <c r="AO503" i="4"/>
  <c r="AL503" i="4"/>
  <c r="AK503" i="4"/>
  <c r="AT500" i="4" s="1"/>
  <c r="AJ503" i="4"/>
  <c r="AH503" i="4"/>
  <c r="AG503" i="4"/>
  <c r="AF503" i="4"/>
  <c r="AC503" i="4"/>
  <c r="AB503" i="4"/>
  <c r="Z503" i="4"/>
  <c r="I503" i="4"/>
  <c r="BJ501" i="4"/>
  <c r="BI501" i="4"/>
  <c r="AE501" i="4" s="1"/>
  <c r="BF501" i="4"/>
  <c r="BD501" i="4"/>
  <c r="AP501" i="4"/>
  <c r="AX501" i="4" s="1"/>
  <c r="AO501" i="4"/>
  <c r="AK501" i="4"/>
  <c r="AJ501" i="4"/>
  <c r="AH501" i="4"/>
  <c r="AG501" i="4"/>
  <c r="AF501" i="4"/>
  <c r="AC501" i="4"/>
  <c r="AB501" i="4"/>
  <c r="Z501" i="4"/>
  <c r="I501" i="4"/>
  <c r="AS500" i="4"/>
  <c r="BJ499" i="4"/>
  <c r="BF499" i="4"/>
  <c r="BD499" i="4"/>
  <c r="AP499" i="4"/>
  <c r="AO499" i="4"/>
  <c r="BH499" i="4" s="1"/>
  <c r="AD499" i="4" s="1"/>
  <c r="AK499" i="4"/>
  <c r="AJ499" i="4"/>
  <c r="AH499" i="4"/>
  <c r="AG499" i="4"/>
  <c r="AF499" i="4"/>
  <c r="AC499" i="4"/>
  <c r="AB499" i="4"/>
  <c r="Z499" i="4"/>
  <c r="I499" i="4"/>
  <c r="AL499" i="4" s="1"/>
  <c r="BJ497" i="4"/>
  <c r="BI497" i="4"/>
  <c r="AE497" i="4" s="1"/>
  <c r="BF497" i="4"/>
  <c r="BD497" i="4"/>
  <c r="AX497" i="4"/>
  <c r="AP497" i="4"/>
  <c r="AO497" i="4"/>
  <c r="AK497" i="4"/>
  <c r="AJ497" i="4"/>
  <c r="AH497" i="4"/>
  <c r="AG497" i="4"/>
  <c r="AF497" i="4"/>
  <c r="AC497" i="4"/>
  <c r="AB497" i="4"/>
  <c r="Z497" i="4"/>
  <c r="I497" i="4"/>
  <c r="AL497" i="4" s="1"/>
  <c r="BJ495" i="4"/>
  <c r="BH495" i="4"/>
  <c r="AD495" i="4" s="1"/>
  <c r="BF495" i="4"/>
  <c r="BD495" i="4"/>
  <c r="AW495" i="4"/>
  <c r="AP495" i="4"/>
  <c r="AO495" i="4"/>
  <c r="AL495" i="4"/>
  <c r="AK495" i="4"/>
  <c r="AJ495" i="4"/>
  <c r="AH495" i="4"/>
  <c r="AG495" i="4"/>
  <c r="AF495" i="4"/>
  <c r="AC495" i="4"/>
  <c r="AB495" i="4"/>
  <c r="Z495" i="4"/>
  <c r="I495" i="4"/>
  <c r="BJ493" i="4"/>
  <c r="BI493" i="4"/>
  <c r="AE493" i="4" s="1"/>
  <c r="BF493" i="4"/>
  <c r="BD493" i="4"/>
  <c r="AP493" i="4"/>
  <c r="AX493" i="4" s="1"/>
  <c r="AO493" i="4"/>
  <c r="AK493" i="4"/>
  <c r="AJ493" i="4"/>
  <c r="AS460" i="4" s="1"/>
  <c r="AH493" i="4"/>
  <c r="AG493" i="4"/>
  <c r="AF493" i="4"/>
  <c r="AC493" i="4"/>
  <c r="AB493" i="4"/>
  <c r="Z493" i="4"/>
  <c r="I493" i="4"/>
  <c r="AL493" i="4" s="1"/>
  <c r="BJ491" i="4"/>
  <c r="BI491" i="4"/>
  <c r="AE491" i="4" s="1"/>
  <c r="BH491" i="4"/>
  <c r="AD491" i="4" s="1"/>
  <c r="BF491" i="4"/>
  <c r="BD491" i="4"/>
  <c r="AP491" i="4"/>
  <c r="AX491" i="4" s="1"/>
  <c r="AO491" i="4"/>
  <c r="AW491" i="4" s="1"/>
  <c r="AL491" i="4"/>
  <c r="AK491" i="4"/>
  <c r="AJ491" i="4"/>
  <c r="AH491" i="4"/>
  <c r="AG491" i="4"/>
  <c r="AF491" i="4"/>
  <c r="AC491" i="4"/>
  <c r="AB491" i="4"/>
  <c r="Z491" i="4"/>
  <c r="I491" i="4"/>
  <c r="BJ489" i="4"/>
  <c r="BI489" i="4"/>
  <c r="BH489" i="4"/>
  <c r="AD489" i="4" s="1"/>
  <c r="BF489" i="4"/>
  <c r="BD489" i="4"/>
  <c r="AX489" i="4"/>
  <c r="AP489" i="4"/>
  <c r="AO489" i="4"/>
  <c r="AW489" i="4" s="1"/>
  <c r="AK489" i="4"/>
  <c r="AJ489" i="4"/>
  <c r="AH489" i="4"/>
  <c r="AG489" i="4"/>
  <c r="AF489" i="4"/>
  <c r="AE489" i="4"/>
  <c r="AC489" i="4"/>
  <c r="AB489" i="4"/>
  <c r="Z489" i="4"/>
  <c r="I489" i="4"/>
  <c r="AL489" i="4" s="1"/>
  <c r="BJ487" i="4"/>
  <c r="BI487" i="4"/>
  <c r="AE487" i="4" s="1"/>
  <c r="BH487" i="4"/>
  <c r="BF487" i="4"/>
  <c r="BD487" i="4"/>
  <c r="AX487" i="4"/>
  <c r="AV487" i="4" s="1"/>
  <c r="AW487" i="4"/>
  <c r="AP487" i="4"/>
  <c r="AO487" i="4"/>
  <c r="AL487" i="4"/>
  <c r="AK487" i="4"/>
  <c r="AJ487" i="4"/>
  <c r="AH487" i="4"/>
  <c r="AG487" i="4"/>
  <c r="AF487" i="4"/>
  <c r="AD487" i="4"/>
  <c r="AC487" i="4"/>
  <c r="AB487" i="4"/>
  <c r="Z487" i="4"/>
  <c r="I487" i="4"/>
  <c r="BJ485" i="4"/>
  <c r="BH485" i="4"/>
  <c r="AD485" i="4" s="1"/>
  <c r="BF485" i="4"/>
  <c r="BD485" i="4"/>
  <c r="BC485" i="4"/>
  <c r="AX485" i="4"/>
  <c r="AW485" i="4"/>
  <c r="AV485" i="4" s="1"/>
  <c r="AP485" i="4"/>
  <c r="BI485" i="4" s="1"/>
  <c r="AO485" i="4"/>
  <c r="AK485" i="4"/>
  <c r="AJ485" i="4"/>
  <c r="AH485" i="4"/>
  <c r="AG485" i="4"/>
  <c r="AF485" i="4"/>
  <c r="AE485" i="4"/>
  <c r="AC485" i="4"/>
  <c r="AB485" i="4"/>
  <c r="Z485" i="4"/>
  <c r="I485" i="4"/>
  <c r="AL485" i="4" s="1"/>
  <c r="BJ483" i="4"/>
  <c r="BI483" i="4"/>
  <c r="BF483" i="4"/>
  <c r="BD483" i="4"/>
  <c r="BC483" i="4"/>
  <c r="AX483" i="4"/>
  <c r="AW483" i="4"/>
  <c r="AV483" i="4"/>
  <c r="AP483" i="4"/>
  <c r="AO483" i="4"/>
  <c r="BH483" i="4" s="1"/>
  <c r="AK483" i="4"/>
  <c r="AJ483" i="4"/>
  <c r="AH483" i="4"/>
  <c r="AG483" i="4"/>
  <c r="AF483" i="4"/>
  <c r="AE483" i="4"/>
  <c r="AD483" i="4"/>
  <c r="AC483" i="4"/>
  <c r="AB483" i="4"/>
  <c r="Z483" i="4"/>
  <c r="I483" i="4"/>
  <c r="AL483" i="4" s="1"/>
  <c r="BJ481" i="4"/>
  <c r="BH481" i="4"/>
  <c r="BF481" i="4"/>
  <c r="BD481" i="4"/>
  <c r="AW481" i="4"/>
  <c r="AP481" i="4"/>
  <c r="BI481" i="4" s="1"/>
  <c r="AE481" i="4" s="1"/>
  <c r="AO481" i="4"/>
  <c r="AL481" i="4"/>
  <c r="AK481" i="4"/>
  <c r="AJ481" i="4"/>
  <c r="AH481" i="4"/>
  <c r="AG481" i="4"/>
  <c r="AF481" i="4"/>
  <c r="AD481" i="4"/>
  <c r="AC481" i="4"/>
  <c r="AB481" i="4"/>
  <c r="Z481" i="4"/>
  <c r="I481" i="4"/>
  <c r="BJ478" i="4"/>
  <c r="BF478" i="4"/>
  <c r="BD478" i="4"/>
  <c r="AP478" i="4"/>
  <c r="BI478" i="4" s="1"/>
  <c r="AE478" i="4" s="1"/>
  <c r="AO478" i="4"/>
  <c r="BH478" i="4" s="1"/>
  <c r="AD478" i="4" s="1"/>
  <c r="AK478" i="4"/>
  <c r="AJ478" i="4"/>
  <c r="AH478" i="4"/>
  <c r="AG478" i="4"/>
  <c r="AF478" i="4"/>
  <c r="AC478" i="4"/>
  <c r="AB478" i="4"/>
  <c r="Z478" i="4"/>
  <c r="I478" i="4"/>
  <c r="AL478" i="4" s="1"/>
  <c r="BJ475" i="4"/>
  <c r="BF475" i="4"/>
  <c r="BD475" i="4"/>
  <c r="AP475" i="4"/>
  <c r="BI475" i="4" s="1"/>
  <c r="AE475" i="4" s="1"/>
  <c r="AO475" i="4"/>
  <c r="BH475" i="4" s="1"/>
  <c r="AD475" i="4" s="1"/>
  <c r="AL475" i="4"/>
  <c r="AK475" i="4"/>
  <c r="AJ475" i="4"/>
  <c r="AH475" i="4"/>
  <c r="AG475" i="4"/>
  <c r="AF475" i="4"/>
  <c r="AC475" i="4"/>
  <c r="AB475" i="4"/>
  <c r="Z475" i="4"/>
  <c r="I475" i="4"/>
  <c r="BJ472" i="4"/>
  <c r="BF472" i="4"/>
  <c r="BD472" i="4"/>
  <c r="AP472" i="4"/>
  <c r="AO472" i="4"/>
  <c r="BH472" i="4" s="1"/>
  <c r="AD472" i="4" s="1"/>
  <c r="AK472" i="4"/>
  <c r="AJ472" i="4"/>
  <c r="AH472" i="4"/>
  <c r="AG472" i="4"/>
  <c r="AF472" i="4"/>
  <c r="AC472" i="4"/>
  <c r="AB472" i="4"/>
  <c r="Z472" i="4"/>
  <c r="I472" i="4"/>
  <c r="AL472" i="4" s="1"/>
  <c r="BJ469" i="4"/>
  <c r="BI469" i="4"/>
  <c r="AE469" i="4" s="1"/>
  <c r="BF469" i="4"/>
  <c r="BD469" i="4"/>
  <c r="AX469" i="4"/>
  <c r="AP469" i="4"/>
  <c r="AO469" i="4"/>
  <c r="AK469" i="4"/>
  <c r="AJ469" i="4"/>
  <c r="AH469" i="4"/>
  <c r="AG469" i="4"/>
  <c r="AF469" i="4"/>
  <c r="AC469" i="4"/>
  <c r="AB469" i="4"/>
  <c r="Z469" i="4"/>
  <c r="I469" i="4"/>
  <c r="AL469" i="4" s="1"/>
  <c r="BJ465" i="4"/>
  <c r="BH465" i="4"/>
  <c r="AD465" i="4" s="1"/>
  <c r="BF465" i="4"/>
  <c r="BD465" i="4"/>
  <c r="AW465" i="4"/>
  <c r="AP465" i="4"/>
  <c r="AO465" i="4"/>
  <c r="AL465" i="4"/>
  <c r="AK465" i="4"/>
  <c r="AJ465" i="4"/>
  <c r="AH465" i="4"/>
  <c r="AG465" i="4"/>
  <c r="AF465" i="4"/>
  <c r="AC465" i="4"/>
  <c r="AB465" i="4"/>
  <c r="Z465" i="4"/>
  <c r="I465" i="4"/>
  <c r="BJ461" i="4"/>
  <c r="BI461" i="4"/>
  <c r="BF461" i="4"/>
  <c r="BD461" i="4"/>
  <c r="AP461" i="4"/>
  <c r="AX461" i="4" s="1"/>
  <c r="AO461" i="4"/>
  <c r="AK461" i="4"/>
  <c r="AJ461" i="4"/>
  <c r="AH461" i="4"/>
  <c r="AG461" i="4"/>
  <c r="AF461" i="4"/>
  <c r="AE461" i="4"/>
  <c r="AC461" i="4"/>
  <c r="AB461" i="4"/>
  <c r="Z461" i="4"/>
  <c r="I461" i="4"/>
  <c r="AT460" i="4"/>
  <c r="BJ459" i="4"/>
  <c r="BF459" i="4"/>
  <c r="BD459" i="4"/>
  <c r="AW459" i="4"/>
  <c r="AP459" i="4"/>
  <c r="AO459" i="4"/>
  <c r="BH459" i="4" s="1"/>
  <c r="AK459" i="4"/>
  <c r="AJ459" i="4"/>
  <c r="AH459" i="4"/>
  <c r="AG459" i="4"/>
  <c r="AF459" i="4"/>
  <c r="AE459" i="4"/>
  <c r="AD459" i="4"/>
  <c r="AC459" i="4"/>
  <c r="AB459" i="4"/>
  <c r="Z459" i="4"/>
  <c r="I459" i="4"/>
  <c r="AL459" i="4" s="1"/>
  <c r="BJ456" i="4"/>
  <c r="BI456" i="4"/>
  <c r="AE456" i="4" s="1"/>
  <c r="BF456" i="4"/>
  <c r="BD456" i="4"/>
  <c r="AX456" i="4"/>
  <c r="AP456" i="4"/>
  <c r="AO456" i="4"/>
  <c r="AK456" i="4"/>
  <c r="AJ456" i="4"/>
  <c r="AH456" i="4"/>
  <c r="AG456" i="4"/>
  <c r="AF456" i="4"/>
  <c r="AC456" i="4"/>
  <c r="AB456" i="4"/>
  <c r="Z456" i="4"/>
  <c r="I456" i="4"/>
  <c r="AL456" i="4" s="1"/>
  <c r="BJ453" i="4"/>
  <c r="BH453" i="4"/>
  <c r="AD453" i="4" s="1"/>
  <c r="BF453" i="4"/>
  <c r="BD453" i="4"/>
  <c r="AW453" i="4"/>
  <c r="AP453" i="4"/>
  <c r="AO453" i="4"/>
  <c r="AL453" i="4"/>
  <c r="AK453" i="4"/>
  <c r="AJ453" i="4"/>
  <c r="AH453" i="4"/>
  <c r="AG453" i="4"/>
  <c r="AF453" i="4"/>
  <c r="AC453" i="4"/>
  <c r="AB453" i="4"/>
  <c r="Z453" i="4"/>
  <c r="I453" i="4"/>
  <c r="BJ438" i="4"/>
  <c r="BI438" i="4"/>
  <c r="BF438" i="4"/>
  <c r="BD438" i="4"/>
  <c r="AP438" i="4"/>
  <c r="AX438" i="4" s="1"/>
  <c r="AO438" i="4"/>
  <c r="AK438" i="4"/>
  <c r="AJ438" i="4"/>
  <c r="AH438" i="4"/>
  <c r="AG438" i="4"/>
  <c r="AF438" i="4"/>
  <c r="AE438" i="4"/>
  <c r="AC438" i="4"/>
  <c r="AB438" i="4"/>
  <c r="Z438" i="4"/>
  <c r="I438" i="4"/>
  <c r="AL438" i="4" s="1"/>
  <c r="BJ435" i="4"/>
  <c r="BI435" i="4"/>
  <c r="AE435" i="4" s="1"/>
  <c r="BH435" i="4"/>
  <c r="BF435" i="4"/>
  <c r="BD435" i="4"/>
  <c r="AX435" i="4"/>
  <c r="AP435" i="4"/>
  <c r="AO435" i="4"/>
  <c r="AW435" i="4" s="1"/>
  <c r="AL435" i="4"/>
  <c r="AK435" i="4"/>
  <c r="AJ435" i="4"/>
  <c r="AH435" i="4"/>
  <c r="AG435" i="4"/>
  <c r="AF435" i="4"/>
  <c r="AD435" i="4"/>
  <c r="AC435" i="4"/>
  <c r="AB435" i="4"/>
  <c r="Z435" i="4"/>
  <c r="I435" i="4"/>
  <c r="BJ432" i="4"/>
  <c r="BI432" i="4"/>
  <c r="BH432" i="4"/>
  <c r="AD432" i="4" s="1"/>
  <c r="BF432" i="4"/>
  <c r="BD432" i="4"/>
  <c r="AX432" i="4"/>
  <c r="AP432" i="4"/>
  <c r="AO432" i="4"/>
  <c r="AW432" i="4" s="1"/>
  <c r="AK432" i="4"/>
  <c r="AJ432" i="4"/>
  <c r="AH432" i="4"/>
  <c r="AG432" i="4"/>
  <c r="AF432" i="4"/>
  <c r="AE432" i="4"/>
  <c r="AC432" i="4"/>
  <c r="AB432" i="4"/>
  <c r="Z432" i="4"/>
  <c r="I432" i="4"/>
  <c r="AL432" i="4" s="1"/>
  <c r="BJ429" i="4"/>
  <c r="BI429" i="4"/>
  <c r="AE429" i="4" s="1"/>
  <c r="BH429" i="4"/>
  <c r="BF429" i="4"/>
  <c r="BD429" i="4"/>
  <c r="AX429" i="4"/>
  <c r="BC429" i="4" s="1"/>
  <c r="AW429" i="4"/>
  <c r="AP429" i="4"/>
  <c r="AO429" i="4"/>
  <c r="AL429" i="4"/>
  <c r="AK429" i="4"/>
  <c r="AJ429" i="4"/>
  <c r="AH429" i="4"/>
  <c r="AG429" i="4"/>
  <c r="AF429" i="4"/>
  <c r="AD429" i="4"/>
  <c r="AC429" i="4"/>
  <c r="AB429" i="4"/>
  <c r="Z429" i="4"/>
  <c r="I429" i="4"/>
  <c r="BJ426" i="4"/>
  <c r="BH426" i="4"/>
  <c r="AD426" i="4" s="1"/>
  <c r="BF426" i="4"/>
  <c r="BD426" i="4"/>
  <c r="AW426" i="4"/>
  <c r="AP426" i="4"/>
  <c r="AO426" i="4"/>
  <c r="AK426" i="4"/>
  <c r="AJ426" i="4"/>
  <c r="AH426" i="4"/>
  <c r="AG426" i="4"/>
  <c r="AF426" i="4"/>
  <c r="AC426" i="4"/>
  <c r="AB426" i="4"/>
  <c r="Z426" i="4"/>
  <c r="I426" i="4"/>
  <c r="AL426" i="4" s="1"/>
  <c r="BJ423" i="4"/>
  <c r="BI423" i="4"/>
  <c r="BF423" i="4"/>
  <c r="BD423" i="4"/>
  <c r="AX423" i="4"/>
  <c r="AP423" i="4"/>
  <c r="AO423" i="4"/>
  <c r="AK423" i="4"/>
  <c r="AJ423" i="4"/>
  <c r="AH423" i="4"/>
  <c r="AG423" i="4"/>
  <c r="AF423" i="4"/>
  <c r="AE423" i="4"/>
  <c r="AC423" i="4"/>
  <c r="AB423" i="4"/>
  <c r="Z423" i="4"/>
  <c r="I423" i="4"/>
  <c r="AL423" i="4" s="1"/>
  <c r="BJ420" i="4"/>
  <c r="BH420" i="4"/>
  <c r="AD420" i="4" s="1"/>
  <c r="BF420" i="4"/>
  <c r="BD420" i="4"/>
  <c r="AW420" i="4"/>
  <c r="AP420" i="4"/>
  <c r="BI420" i="4" s="1"/>
  <c r="AE420" i="4" s="1"/>
  <c r="AO420" i="4"/>
  <c r="AL420" i="4"/>
  <c r="AK420" i="4"/>
  <c r="AJ420" i="4"/>
  <c r="AH420" i="4"/>
  <c r="AG420" i="4"/>
  <c r="AF420" i="4"/>
  <c r="AC420" i="4"/>
  <c r="AB420" i="4"/>
  <c r="Z420" i="4"/>
  <c r="I420" i="4"/>
  <c r="BJ416" i="4"/>
  <c r="BF416" i="4"/>
  <c r="BD416" i="4"/>
  <c r="AW416" i="4"/>
  <c r="AP416" i="4"/>
  <c r="BI416" i="4" s="1"/>
  <c r="AO416" i="4"/>
  <c r="BH416" i="4" s="1"/>
  <c r="AD416" i="4" s="1"/>
  <c r="AK416" i="4"/>
  <c r="AJ416" i="4"/>
  <c r="AH416" i="4"/>
  <c r="AG416" i="4"/>
  <c r="AF416" i="4"/>
  <c r="AE416" i="4"/>
  <c r="AC416" i="4"/>
  <c r="AB416" i="4"/>
  <c r="Z416" i="4"/>
  <c r="I416" i="4"/>
  <c r="AL416" i="4" s="1"/>
  <c r="BJ412" i="4"/>
  <c r="BF412" i="4"/>
  <c r="BD412" i="4"/>
  <c r="AP412" i="4"/>
  <c r="BI412" i="4" s="1"/>
  <c r="AE412" i="4" s="1"/>
  <c r="AO412" i="4"/>
  <c r="BH412" i="4" s="1"/>
  <c r="AD412" i="4" s="1"/>
  <c r="AL412" i="4"/>
  <c r="AK412" i="4"/>
  <c r="AJ412" i="4"/>
  <c r="AH412" i="4"/>
  <c r="AG412" i="4"/>
  <c r="AF412" i="4"/>
  <c r="AC412" i="4"/>
  <c r="AB412" i="4"/>
  <c r="Z412" i="4"/>
  <c r="I412" i="4"/>
  <c r="BJ406" i="4"/>
  <c r="BF406" i="4"/>
  <c r="BD406" i="4"/>
  <c r="AW406" i="4"/>
  <c r="AP406" i="4"/>
  <c r="AO406" i="4"/>
  <c r="BH406" i="4" s="1"/>
  <c r="AD406" i="4" s="1"/>
  <c r="AK406" i="4"/>
  <c r="AJ406" i="4"/>
  <c r="AH406" i="4"/>
  <c r="AG406" i="4"/>
  <c r="AF406" i="4"/>
  <c r="AC406" i="4"/>
  <c r="AB406" i="4"/>
  <c r="Z406" i="4"/>
  <c r="I406" i="4"/>
  <c r="AL406" i="4" s="1"/>
  <c r="BJ403" i="4"/>
  <c r="BI403" i="4"/>
  <c r="AE403" i="4" s="1"/>
  <c r="BF403" i="4"/>
  <c r="BD403" i="4"/>
  <c r="AX403" i="4"/>
  <c r="AP403" i="4"/>
  <c r="AO403" i="4"/>
  <c r="AK403" i="4"/>
  <c r="AJ403" i="4"/>
  <c r="AS402" i="4" s="1"/>
  <c r="AH403" i="4"/>
  <c r="AG403" i="4"/>
  <c r="AF403" i="4"/>
  <c r="AC403" i="4"/>
  <c r="AB403" i="4"/>
  <c r="Z403" i="4"/>
  <c r="I403" i="4"/>
  <c r="I402" i="4" s="1"/>
  <c r="BJ400" i="4"/>
  <c r="BF400" i="4"/>
  <c r="BD400" i="4"/>
  <c r="AP400" i="4"/>
  <c r="BI400" i="4" s="1"/>
  <c r="AC400" i="4" s="1"/>
  <c r="AO400" i="4"/>
  <c r="BH400" i="4" s="1"/>
  <c r="AB400" i="4" s="1"/>
  <c r="AK400" i="4"/>
  <c r="AJ400" i="4"/>
  <c r="AH400" i="4"/>
  <c r="AG400" i="4"/>
  <c r="AF400" i="4"/>
  <c r="AE400" i="4"/>
  <c r="AD400" i="4"/>
  <c r="Z400" i="4"/>
  <c r="I400" i="4"/>
  <c r="AL400" i="4" s="1"/>
  <c r="BJ393" i="4"/>
  <c r="BI393" i="4"/>
  <c r="AC393" i="4" s="1"/>
  <c r="BF393" i="4"/>
  <c r="BD393" i="4"/>
  <c r="AP393" i="4"/>
  <c r="AX393" i="4" s="1"/>
  <c r="AO393" i="4"/>
  <c r="BH393" i="4" s="1"/>
  <c r="AB393" i="4" s="1"/>
  <c r="AL393" i="4"/>
  <c r="AK393" i="4"/>
  <c r="AJ393" i="4"/>
  <c r="AH393" i="4"/>
  <c r="AG393" i="4"/>
  <c r="AF393" i="4"/>
  <c r="AE393" i="4"/>
  <c r="AD393" i="4"/>
  <c r="Z393" i="4"/>
  <c r="I393" i="4"/>
  <c r="BJ389" i="4"/>
  <c r="BF389" i="4"/>
  <c r="BD389" i="4"/>
  <c r="AW389" i="4"/>
  <c r="AP389" i="4"/>
  <c r="AO389" i="4"/>
  <c r="BH389" i="4" s="1"/>
  <c r="AB389" i="4" s="1"/>
  <c r="AK389" i="4"/>
  <c r="AJ389" i="4"/>
  <c r="AH389" i="4"/>
  <c r="AG389" i="4"/>
  <c r="AF389" i="4"/>
  <c r="AE389" i="4"/>
  <c r="AD389" i="4"/>
  <c r="Z389" i="4"/>
  <c r="I389" i="4"/>
  <c r="AL389" i="4" s="1"/>
  <c r="BJ381" i="4"/>
  <c r="BI381" i="4"/>
  <c r="AC381" i="4" s="1"/>
  <c r="BF381" i="4"/>
  <c r="BD381" i="4"/>
  <c r="AX381" i="4"/>
  <c r="AP381" i="4"/>
  <c r="AO381" i="4"/>
  <c r="AK381" i="4"/>
  <c r="AJ381" i="4"/>
  <c r="AH381" i="4"/>
  <c r="AG381" i="4"/>
  <c r="AF381" i="4"/>
  <c r="AE381" i="4"/>
  <c r="AD381" i="4"/>
  <c r="Z381" i="4"/>
  <c r="I381" i="4"/>
  <c r="AL381" i="4" s="1"/>
  <c r="AU370" i="4" s="1"/>
  <c r="BJ377" i="4"/>
  <c r="BH377" i="4"/>
  <c r="AB377" i="4" s="1"/>
  <c r="BF377" i="4"/>
  <c r="BD377" i="4"/>
  <c r="AW377" i="4"/>
  <c r="AP377" i="4"/>
  <c r="AO377" i="4"/>
  <c r="AL377" i="4"/>
  <c r="AK377" i="4"/>
  <c r="AJ377" i="4"/>
  <c r="AH377" i="4"/>
  <c r="AG377" i="4"/>
  <c r="AF377" i="4"/>
  <c r="AE377" i="4"/>
  <c r="AD377" i="4"/>
  <c r="Z377" i="4"/>
  <c r="I377" i="4"/>
  <c r="BJ374" i="4"/>
  <c r="BI374" i="4"/>
  <c r="AC374" i="4" s="1"/>
  <c r="BF374" i="4"/>
  <c r="BD374" i="4"/>
  <c r="AP374" i="4"/>
  <c r="AX374" i="4" s="1"/>
  <c r="AO374" i="4"/>
  <c r="AK374" i="4"/>
  <c r="AJ374" i="4"/>
  <c r="AS370" i="4" s="1"/>
  <c r="AH374" i="4"/>
  <c r="AG374" i="4"/>
  <c r="AF374" i="4"/>
  <c r="AE374" i="4"/>
  <c r="AD374" i="4"/>
  <c r="Z374" i="4"/>
  <c r="I374" i="4"/>
  <c r="AL374" i="4" s="1"/>
  <c r="BJ371" i="4"/>
  <c r="BH371" i="4"/>
  <c r="AB371" i="4" s="1"/>
  <c r="BF371" i="4"/>
  <c r="BD371" i="4"/>
  <c r="AX371" i="4"/>
  <c r="AP371" i="4"/>
  <c r="BI371" i="4" s="1"/>
  <c r="AC371" i="4" s="1"/>
  <c r="AO371" i="4"/>
  <c r="AW371" i="4" s="1"/>
  <c r="AL371" i="4"/>
  <c r="AK371" i="4"/>
  <c r="AJ371" i="4"/>
  <c r="AH371" i="4"/>
  <c r="AG371" i="4"/>
  <c r="AF371" i="4"/>
  <c r="AE371" i="4"/>
  <c r="AD371" i="4"/>
  <c r="Z371" i="4"/>
  <c r="I371" i="4"/>
  <c r="BJ368" i="4"/>
  <c r="BI368" i="4"/>
  <c r="AC368" i="4" s="1"/>
  <c r="BF368" i="4"/>
  <c r="BD368" i="4"/>
  <c r="AX368" i="4"/>
  <c r="AP368" i="4"/>
  <c r="AO368" i="4"/>
  <c r="AL368" i="4"/>
  <c r="AK368" i="4"/>
  <c r="AJ368" i="4"/>
  <c r="AH368" i="4"/>
  <c r="AG368" i="4"/>
  <c r="AF368" i="4"/>
  <c r="AE368" i="4"/>
  <c r="AD368" i="4"/>
  <c r="Z368" i="4"/>
  <c r="I368" i="4"/>
  <c r="BJ365" i="4"/>
  <c r="BH365" i="4"/>
  <c r="AB365" i="4" s="1"/>
  <c r="BF365" i="4"/>
  <c r="BD365" i="4"/>
  <c r="AW365" i="4"/>
  <c r="AP365" i="4"/>
  <c r="AO365" i="4"/>
  <c r="AL365" i="4"/>
  <c r="AK365" i="4"/>
  <c r="AJ365" i="4"/>
  <c r="AH365" i="4"/>
  <c r="AG365" i="4"/>
  <c r="AF365" i="4"/>
  <c r="AE365" i="4"/>
  <c r="AD365" i="4"/>
  <c r="Z365" i="4"/>
  <c r="I365" i="4"/>
  <c r="BJ361" i="4"/>
  <c r="BI361" i="4"/>
  <c r="AC361" i="4" s="1"/>
  <c r="BF361" i="4"/>
  <c r="BD361" i="4"/>
  <c r="AP361" i="4"/>
  <c r="AX361" i="4" s="1"/>
  <c r="AO361" i="4"/>
  <c r="AK361" i="4"/>
  <c r="AJ361" i="4"/>
  <c r="AH361" i="4"/>
  <c r="AG361" i="4"/>
  <c r="AF361" i="4"/>
  <c r="AE361" i="4"/>
  <c r="AD361" i="4"/>
  <c r="Z361" i="4"/>
  <c r="I361" i="4"/>
  <c r="AL361" i="4" s="1"/>
  <c r="BJ354" i="4"/>
  <c r="BI354" i="4"/>
  <c r="AC354" i="4" s="1"/>
  <c r="BH354" i="4"/>
  <c r="AB354" i="4" s="1"/>
  <c r="BF354" i="4"/>
  <c r="BD354" i="4"/>
  <c r="AX354" i="4"/>
  <c r="AP354" i="4"/>
  <c r="AO354" i="4"/>
  <c r="AW354" i="4" s="1"/>
  <c r="AL354" i="4"/>
  <c r="AK354" i="4"/>
  <c r="AJ354" i="4"/>
  <c r="AS345" i="4" s="1"/>
  <c r="AH354" i="4"/>
  <c r="AG354" i="4"/>
  <c r="AF354" i="4"/>
  <c r="AE354" i="4"/>
  <c r="AD354" i="4"/>
  <c r="Z354" i="4"/>
  <c r="I354" i="4"/>
  <c r="BJ346" i="4"/>
  <c r="BI346" i="4"/>
  <c r="BH346" i="4"/>
  <c r="AB346" i="4" s="1"/>
  <c r="BF346" i="4"/>
  <c r="BD346" i="4"/>
  <c r="AX346" i="4"/>
  <c r="AW346" i="4"/>
  <c r="AV346" i="4" s="1"/>
  <c r="AP346" i="4"/>
  <c r="AO346" i="4"/>
  <c r="AK346" i="4"/>
  <c r="AJ346" i="4"/>
  <c r="AH346" i="4"/>
  <c r="AG346" i="4"/>
  <c r="AF346" i="4"/>
  <c r="AE346" i="4"/>
  <c r="AD346" i="4"/>
  <c r="AC346" i="4"/>
  <c r="Z346" i="4"/>
  <c r="I346" i="4"/>
  <c r="AL346" i="4" s="1"/>
  <c r="AT345" i="4"/>
  <c r="BJ341" i="4"/>
  <c r="BH341" i="4"/>
  <c r="AB341" i="4" s="1"/>
  <c r="BF341" i="4"/>
  <c r="BD341" i="4"/>
  <c r="AW341" i="4"/>
  <c r="AP341" i="4"/>
  <c r="AO341" i="4"/>
  <c r="AL341" i="4"/>
  <c r="AK341" i="4"/>
  <c r="AJ341" i="4"/>
  <c r="AH341" i="4"/>
  <c r="AG341" i="4"/>
  <c r="AF341" i="4"/>
  <c r="AE341" i="4"/>
  <c r="AD341" i="4"/>
  <c r="Z341" i="4"/>
  <c r="I341" i="4"/>
  <c r="BJ338" i="4"/>
  <c r="BI338" i="4"/>
  <c r="AC338" i="4" s="1"/>
  <c r="BF338" i="4"/>
  <c r="BD338" i="4"/>
  <c r="AP338" i="4"/>
  <c r="AX338" i="4" s="1"/>
  <c r="AO338" i="4"/>
  <c r="AK338" i="4"/>
  <c r="AJ338" i="4"/>
  <c r="AH338" i="4"/>
  <c r="AG338" i="4"/>
  <c r="AF338" i="4"/>
  <c r="AE338" i="4"/>
  <c r="AD338" i="4"/>
  <c r="Z338" i="4"/>
  <c r="I338" i="4"/>
  <c r="AL338" i="4" s="1"/>
  <c r="BJ329" i="4"/>
  <c r="BI329" i="4"/>
  <c r="AC329" i="4" s="1"/>
  <c r="BH329" i="4"/>
  <c r="AB329" i="4" s="1"/>
  <c r="BF329" i="4"/>
  <c r="BD329" i="4"/>
  <c r="AX329" i="4"/>
  <c r="AP329" i="4"/>
  <c r="AO329" i="4"/>
  <c r="AW329" i="4" s="1"/>
  <c r="AL329" i="4"/>
  <c r="AK329" i="4"/>
  <c r="AJ329" i="4"/>
  <c r="AH329" i="4"/>
  <c r="AG329" i="4"/>
  <c r="AF329" i="4"/>
  <c r="AE329" i="4"/>
  <c r="AD329" i="4"/>
  <c r="Z329" i="4"/>
  <c r="I329" i="4"/>
  <c r="BJ326" i="4"/>
  <c r="BI326" i="4"/>
  <c r="BH326" i="4"/>
  <c r="AB326" i="4" s="1"/>
  <c r="BF326" i="4"/>
  <c r="BD326" i="4"/>
  <c r="AX326" i="4"/>
  <c r="AW326" i="4"/>
  <c r="AV326" i="4" s="1"/>
  <c r="AP326" i="4"/>
  <c r="AO326" i="4"/>
  <c r="AK326" i="4"/>
  <c r="AJ326" i="4"/>
  <c r="AH326" i="4"/>
  <c r="AG326" i="4"/>
  <c r="AF326" i="4"/>
  <c r="AE326" i="4"/>
  <c r="AD326" i="4"/>
  <c r="AC326" i="4"/>
  <c r="Z326" i="4"/>
  <c r="I326" i="4"/>
  <c r="AL326" i="4" s="1"/>
  <c r="BJ324" i="4"/>
  <c r="BI324" i="4"/>
  <c r="AC324" i="4" s="1"/>
  <c r="BH324" i="4"/>
  <c r="BF324" i="4"/>
  <c r="BD324" i="4"/>
  <c r="AX324" i="4"/>
  <c r="BC324" i="4" s="1"/>
  <c r="AW324" i="4"/>
  <c r="AV324" i="4"/>
  <c r="AP324" i="4"/>
  <c r="AO324" i="4"/>
  <c r="AL324" i="4"/>
  <c r="AK324" i="4"/>
  <c r="AJ324" i="4"/>
  <c r="AH324" i="4"/>
  <c r="AG324" i="4"/>
  <c r="AF324" i="4"/>
  <c r="AE324" i="4"/>
  <c r="AD324" i="4"/>
  <c r="AB324" i="4"/>
  <c r="Z324" i="4"/>
  <c r="I324" i="4"/>
  <c r="BJ321" i="4"/>
  <c r="BH321" i="4"/>
  <c r="AB321" i="4" s="1"/>
  <c r="BF321" i="4"/>
  <c r="BD321" i="4"/>
  <c r="AW321" i="4"/>
  <c r="AP321" i="4"/>
  <c r="AO321" i="4"/>
  <c r="AK321" i="4"/>
  <c r="AJ321" i="4"/>
  <c r="AH321" i="4"/>
  <c r="AG321" i="4"/>
  <c r="AF321" i="4"/>
  <c r="AE321" i="4"/>
  <c r="AD321" i="4"/>
  <c r="Z321" i="4"/>
  <c r="I321" i="4"/>
  <c r="AL321" i="4" s="1"/>
  <c r="BJ308" i="4"/>
  <c r="BI308" i="4"/>
  <c r="AC308" i="4" s="1"/>
  <c r="BF308" i="4"/>
  <c r="BD308" i="4"/>
  <c r="AX308" i="4"/>
  <c r="AP308" i="4"/>
  <c r="AO308" i="4"/>
  <c r="AK308" i="4"/>
  <c r="AJ308" i="4"/>
  <c r="AH308" i="4"/>
  <c r="AG308" i="4"/>
  <c r="AF308" i="4"/>
  <c r="AE308" i="4"/>
  <c r="AD308" i="4"/>
  <c r="Z308" i="4"/>
  <c r="I308" i="4"/>
  <c r="AL308" i="4" s="1"/>
  <c r="BJ306" i="4"/>
  <c r="BH306" i="4"/>
  <c r="AB306" i="4" s="1"/>
  <c r="BF306" i="4"/>
  <c r="BD306" i="4"/>
  <c r="AW306" i="4"/>
  <c r="AP306" i="4"/>
  <c r="BI306" i="4" s="1"/>
  <c r="AC306" i="4" s="1"/>
  <c r="AO306" i="4"/>
  <c r="AL306" i="4"/>
  <c r="AU305" i="4" s="1"/>
  <c r="AK306" i="4"/>
  <c r="AJ306" i="4"/>
  <c r="AH306" i="4"/>
  <c r="AG306" i="4"/>
  <c r="AF306" i="4"/>
  <c r="AE306" i="4"/>
  <c r="AD306" i="4"/>
  <c r="Z306" i="4"/>
  <c r="I306" i="4"/>
  <c r="BJ301" i="4"/>
  <c r="BI301" i="4"/>
  <c r="AC301" i="4" s="1"/>
  <c r="BH301" i="4"/>
  <c r="BF301" i="4"/>
  <c r="BD301" i="4"/>
  <c r="BC301" i="4"/>
  <c r="AX301" i="4"/>
  <c r="AW301" i="4"/>
  <c r="AV301" i="4"/>
  <c r="AP301" i="4"/>
  <c r="AO301" i="4"/>
  <c r="AL301" i="4"/>
  <c r="AK301" i="4"/>
  <c r="AJ301" i="4"/>
  <c r="AH301" i="4"/>
  <c r="AG301" i="4"/>
  <c r="AF301" i="4"/>
  <c r="AE301" i="4"/>
  <c r="AD301" i="4"/>
  <c r="AB301" i="4"/>
  <c r="Z301" i="4"/>
  <c r="I301" i="4"/>
  <c r="BJ297" i="4"/>
  <c r="BH297" i="4"/>
  <c r="AB297" i="4" s="1"/>
  <c r="BF297" i="4"/>
  <c r="BD297" i="4"/>
  <c r="AW297" i="4"/>
  <c r="AP297" i="4"/>
  <c r="BI297" i="4" s="1"/>
  <c r="AO297" i="4"/>
  <c r="AK297" i="4"/>
  <c r="AT288" i="4" s="1"/>
  <c r="AJ297" i="4"/>
  <c r="AH297" i="4"/>
  <c r="AG297" i="4"/>
  <c r="AF297" i="4"/>
  <c r="AE297" i="4"/>
  <c r="AD297" i="4"/>
  <c r="AC297" i="4"/>
  <c r="Z297" i="4"/>
  <c r="I297" i="4"/>
  <c r="AL297" i="4" s="1"/>
  <c r="AU288" i="4" s="1"/>
  <c r="BJ292" i="4"/>
  <c r="BI292" i="4"/>
  <c r="BF292" i="4"/>
  <c r="BD292" i="4"/>
  <c r="AX292" i="4"/>
  <c r="AP292" i="4"/>
  <c r="AO292" i="4"/>
  <c r="BH292" i="4" s="1"/>
  <c r="AB292" i="4" s="1"/>
  <c r="AK292" i="4"/>
  <c r="AJ292" i="4"/>
  <c r="AS288" i="4" s="1"/>
  <c r="AH292" i="4"/>
  <c r="AG292" i="4"/>
  <c r="AF292" i="4"/>
  <c r="AE292" i="4"/>
  <c r="AD292" i="4"/>
  <c r="AC292" i="4"/>
  <c r="Z292" i="4"/>
  <c r="I292" i="4"/>
  <c r="AL292" i="4" s="1"/>
  <c r="BJ289" i="4"/>
  <c r="BH289" i="4"/>
  <c r="BF289" i="4"/>
  <c r="BD289" i="4"/>
  <c r="AW289" i="4"/>
  <c r="AP289" i="4"/>
  <c r="BI289" i="4" s="1"/>
  <c r="AC289" i="4" s="1"/>
  <c r="AO289" i="4"/>
  <c r="AL289" i="4"/>
  <c r="AK289" i="4"/>
  <c r="AJ289" i="4"/>
  <c r="AH289" i="4"/>
  <c r="AG289" i="4"/>
  <c r="AF289" i="4"/>
  <c r="AE289" i="4"/>
  <c r="AD289" i="4"/>
  <c r="AB289" i="4"/>
  <c r="Z289" i="4"/>
  <c r="I289" i="4"/>
  <c r="I288" i="4"/>
  <c r="BJ286" i="4"/>
  <c r="BI286" i="4"/>
  <c r="AC286" i="4" s="1"/>
  <c r="BH286" i="4"/>
  <c r="BF286" i="4"/>
  <c r="BD286" i="4"/>
  <c r="AX286" i="4"/>
  <c r="BC286" i="4" s="1"/>
  <c r="AW286" i="4"/>
  <c r="AV286" i="4"/>
  <c r="AP286" i="4"/>
  <c r="AO286" i="4"/>
  <c r="AL286" i="4"/>
  <c r="AK286" i="4"/>
  <c r="AJ286" i="4"/>
  <c r="AH286" i="4"/>
  <c r="AG286" i="4"/>
  <c r="AF286" i="4"/>
  <c r="AE286" i="4"/>
  <c r="AD286" i="4"/>
  <c r="AB286" i="4"/>
  <c r="Z286" i="4"/>
  <c r="I286" i="4"/>
  <c r="AU285" i="4"/>
  <c r="AT285" i="4"/>
  <c r="AS285" i="4"/>
  <c r="I285" i="4"/>
  <c r="BJ283" i="4"/>
  <c r="BI283" i="4"/>
  <c r="AC283" i="4" s="1"/>
  <c r="BH283" i="4"/>
  <c r="BF283" i="4"/>
  <c r="BD283" i="4"/>
  <c r="BC283" i="4"/>
  <c r="AV283" i="4"/>
  <c r="AP283" i="4"/>
  <c r="AX283" i="4" s="1"/>
  <c r="AO283" i="4"/>
  <c r="AW283" i="4" s="1"/>
  <c r="AK283" i="4"/>
  <c r="AJ283" i="4"/>
  <c r="AH283" i="4"/>
  <c r="AG283" i="4"/>
  <c r="AF283" i="4"/>
  <c r="AE283" i="4"/>
  <c r="AD283" i="4"/>
  <c r="AB283" i="4"/>
  <c r="Z283" i="4"/>
  <c r="I283" i="4"/>
  <c r="AL283" i="4" s="1"/>
  <c r="BJ282" i="4"/>
  <c r="BH282" i="4"/>
  <c r="BF282" i="4"/>
  <c r="BD282" i="4"/>
  <c r="AX282" i="4"/>
  <c r="AP282" i="4"/>
  <c r="BI282" i="4" s="1"/>
  <c r="AO282" i="4"/>
  <c r="AW282" i="4" s="1"/>
  <c r="AL282" i="4"/>
  <c r="AK282" i="4"/>
  <c r="AJ282" i="4"/>
  <c r="AH282" i="4"/>
  <c r="AG282" i="4"/>
  <c r="AF282" i="4"/>
  <c r="AE282" i="4"/>
  <c r="AD282" i="4"/>
  <c r="AC282" i="4"/>
  <c r="AB282" i="4"/>
  <c r="Z282" i="4"/>
  <c r="I282" i="4"/>
  <c r="BJ279" i="4"/>
  <c r="BI279" i="4"/>
  <c r="AC279" i="4" s="1"/>
  <c r="BH279" i="4"/>
  <c r="AB279" i="4" s="1"/>
  <c r="BF279" i="4"/>
  <c r="BD279" i="4"/>
  <c r="AX279" i="4"/>
  <c r="AP279" i="4"/>
  <c r="AO279" i="4"/>
  <c r="AW279" i="4" s="1"/>
  <c r="AK279" i="4"/>
  <c r="AJ279" i="4"/>
  <c r="AH279" i="4"/>
  <c r="AG279" i="4"/>
  <c r="AF279" i="4"/>
  <c r="AE279" i="4"/>
  <c r="AD279" i="4"/>
  <c r="Z279" i="4"/>
  <c r="I279" i="4"/>
  <c r="AL279" i="4" s="1"/>
  <c r="BJ275" i="4"/>
  <c r="BI275" i="4"/>
  <c r="AC275" i="4" s="1"/>
  <c r="BH275" i="4"/>
  <c r="BF275" i="4"/>
  <c r="BD275" i="4"/>
  <c r="AX275" i="4"/>
  <c r="AV275" i="4" s="1"/>
  <c r="AW275" i="4"/>
  <c r="AP275" i="4"/>
  <c r="AO275" i="4"/>
  <c r="AL275" i="4"/>
  <c r="AK275" i="4"/>
  <c r="AJ275" i="4"/>
  <c r="AH275" i="4"/>
  <c r="AG275" i="4"/>
  <c r="AF275" i="4"/>
  <c r="AE275" i="4"/>
  <c r="AD275" i="4"/>
  <c r="AB275" i="4"/>
  <c r="Z275" i="4"/>
  <c r="I275" i="4"/>
  <c r="BJ273" i="4"/>
  <c r="BH273" i="4"/>
  <c r="AB273" i="4" s="1"/>
  <c r="BF273" i="4"/>
  <c r="BD273" i="4"/>
  <c r="AW273" i="4"/>
  <c r="AP273" i="4"/>
  <c r="BI273" i="4" s="1"/>
  <c r="AC273" i="4" s="1"/>
  <c r="AO273" i="4"/>
  <c r="AK273" i="4"/>
  <c r="AJ273" i="4"/>
  <c r="AH273" i="4"/>
  <c r="AG273" i="4"/>
  <c r="AF273" i="4"/>
  <c r="AE273" i="4"/>
  <c r="AD273" i="4"/>
  <c r="Z273" i="4"/>
  <c r="I273" i="4"/>
  <c r="AL273" i="4" s="1"/>
  <c r="AU267" i="4" s="1"/>
  <c r="BJ271" i="4"/>
  <c r="BI271" i="4"/>
  <c r="AC271" i="4" s="1"/>
  <c r="BF271" i="4"/>
  <c r="BD271" i="4"/>
  <c r="AX271" i="4"/>
  <c r="AP271" i="4"/>
  <c r="AO271" i="4"/>
  <c r="BH271" i="4" s="1"/>
  <c r="AB271" i="4" s="1"/>
  <c r="AK271" i="4"/>
  <c r="AJ271" i="4"/>
  <c r="AH271" i="4"/>
  <c r="AG271" i="4"/>
  <c r="AF271" i="4"/>
  <c r="AE271" i="4"/>
  <c r="AD271" i="4"/>
  <c r="Z271" i="4"/>
  <c r="I271" i="4"/>
  <c r="AL271" i="4" s="1"/>
  <c r="BJ268" i="4"/>
  <c r="BH268" i="4"/>
  <c r="AB268" i="4" s="1"/>
  <c r="BF268" i="4"/>
  <c r="BD268" i="4"/>
  <c r="AW268" i="4"/>
  <c r="AP268" i="4"/>
  <c r="BI268" i="4" s="1"/>
  <c r="AC268" i="4" s="1"/>
  <c r="AO268" i="4"/>
  <c r="AL268" i="4"/>
  <c r="AK268" i="4"/>
  <c r="AJ268" i="4"/>
  <c r="AH268" i="4"/>
  <c r="AG268" i="4"/>
  <c r="AF268" i="4"/>
  <c r="AE268" i="4"/>
  <c r="AD268" i="4"/>
  <c r="Z268" i="4"/>
  <c r="I268" i="4"/>
  <c r="BJ264" i="4"/>
  <c r="BI264" i="4"/>
  <c r="AC264" i="4" s="1"/>
  <c r="BH264" i="4"/>
  <c r="AB264" i="4" s="1"/>
  <c r="BF264" i="4"/>
  <c r="BD264" i="4"/>
  <c r="BC264" i="4"/>
  <c r="AX264" i="4"/>
  <c r="AW264" i="4"/>
  <c r="AV264" i="4"/>
  <c r="AP264" i="4"/>
  <c r="AO264" i="4"/>
  <c r="AL264" i="4"/>
  <c r="AK264" i="4"/>
  <c r="AJ264" i="4"/>
  <c r="AH264" i="4"/>
  <c r="AG264" i="4"/>
  <c r="AF264" i="4"/>
  <c r="AE264" i="4"/>
  <c r="AD264" i="4"/>
  <c r="Z264" i="4"/>
  <c r="I264" i="4"/>
  <c r="AU263" i="4"/>
  <c r="AT263" i="4"/>
  <c r="AS263" i="4"/>
  <c r="I263" i="4"/>
  <c r="BJ261" i="4"/>
  <c r="BI261" i="4"/>
  <c r="AC261" i="4" s="1"/>
  <c r="BH261" i="4"/>
  <c r="AB261" i="4" s="1"/>
  <c r="BF261" i="4"/>
  <c r="BD261" i="4"/>
  <c r="AV261" i="4"/>
  <c r="AP261" i="4"/>
  <c r="AX261" i="4" s="1"/>
  <c r="AO261" i="4"/>
  <c r="AW261" i="4" s="1"/>
  <c r="BC261" i="4" s="1"/>
  <c r="AL261" i="4"/>
  <c r="AK261" i="4"/>
  <c r="AJ261" i="4"/>
  <c r="AH261" i="4"/>
  <c r="AG261" i="4"/>
  <c r="AF261" i="4"/>
  <c r="AE261" i="4"/>
  <c r="AD261" i="4"/>
  <c r="Z261" i="4"/>
  <c r="I261" i="4"/>
  <c r="BJ258" i="4"/>
  <c r="BH258" i="4"/>
  <c r="AB258" i="4" s="1"/>
  <c r="BF258" i="4"/>
  <c r="BD258" i="4"/>
  <c r="AP258" i="4"/>
  <c r="AX258" i="4" s="1"/>
  <c r="AO258" i="4"/>
  <c r="AW258" i="4" s="1"/>
  <c r="AL258" i="4"/>
  <c r="AK258" i="4"/>
  <c r="AJ258" i="4"/>
  <c r="AH258" i="4"/>
  <c r="AG258" i="4"/>
  <c r="AF258" i="4"/>
  <c r="AE258" i="4"/>
  <c r="AD258" i="4"/>
  <c r="Z258" i="4"/>
  <c r="I258" i="4"/>
  <c r="BJ253" i="4"/>
  <c r="BI253" i="4"/>
  <c r="AC253" i="4" s="1"/>
  <c r="BF253" i="4"/>
  <c r="BD253" i="4"/>
  <c r="AX253" i="4"/>
  <c r="AW253" i="4"/>
  <c r="AV253" i="4" s="1"/>
  <c r="AP253" i="4"/>
  <c r="AO253" i="4"/>
  <c r="BH253" i="4" s="1"/>
  <c r="AB253" i="4" s="1"/>
  <c r="AK253" i="4"/>
  <c r="AJ253" i="4"/>
  <c r="AH253" i="4"/>
  <c r="AG253" i="4"/>
  <c r="AF253" i="4"/>
  <c r="AE253" i="4"/>
  <c r="AD253" i="4"/>
  <c r="Z253" i="4"/>
  <c r="I253" i="4"/>
  <c r="AL253" i="4" s="1"/>
  <c r="BJ249" i="4"/>
  <c r="BI249" i="4"/>
  <c r="AC249" i="4" s="1"/>
  <c r="BH249" i="4"/>
  <c r="AB249" i="4" s="1"/>
  <c r="BF249" i="4"/>
  <c r="BD249" i="4"/>
  <c r="BC249" i="4"/>
  <c r="AX249" i="4"/>
  <c r="AW249" i="4"/>
  <c r="AV249" i="4"/>
  <c r="AP249" i="4"/>
  <c r="AO249" i="4"/>
  <c r="AL249" i="4"/>
  <c r="AK249" i="4"/>
  <c r="AJ249" i="4"/>
  <c r="AH249" i="4"/>
  <c r="AG249" i="4"/>
  <c r="AF249" i="4"/>
  <c r="AE249" i="4"/>
  <c r="AD249" i="4"/>
  <c r="Z249" i="4"/>
  <c r="I249" i="4"/>
  <c r="BJ244" i="4"/>
  <c r="BH244" i="4"/>
  <c r="AB244" i="4" s="1"/>
  <c r="BF244" i="4"/>
  <c r="BD244" i="4"/>
  <c r="AX244" i="4"/>
  <c r="AW244" i="4"/>
  <c r="AV244" i="4" s="1"/>
  <c r="AP244" i="4"/>
  <c r="BI244" i="4" s="1"/>
  <c r="AO244" i="4"/>
  <c r="AK244" i="4"/>
  <c r="AJ244" i="4"/>
  <c r="AH244" i="4"/>
  <c r="AG244" i="4"/>
  <c r="AF244" i="4"/>
  <c r="AE244" i="4"/>
  <c r="AD244" i="4"/>
  <c r="AC244" i="4"/>
  <c r="Z244" i="4"/>
  <c r="I244" i="4"/>
  <c r="AL244" i="4" s="1"/>
  <c r="BJ238" i="4"/>
  <c r="BI238" i="4"/>
  <c r="BF238" i="4"/>
  <c r="BD238" i="4"/>
  <c r="AX238" i="4"/>
  <c r="AP238" i="4"/>
  <c r="AO238" i="4"/>
  <c r="BH238" i="4" s="1"/>
  <c r="AB238" i="4" s="1"/>
  <c r="AK238" i="4"/>
  <c r="AJ238" i="4"/>
  <c r="AH238" i="4"/>
  <c r="AG238" i="4"/>
  <c r="AF238" i="4"/>
  <c r="AE238" i="4"/>
  <c r="AD238" i="4"/>
  <c r="AC238" i="4"/>
  <c r="Z238" i="4"/>
  <c r="I238" i="4"/>
  <c r="AL238" i="4" s="1"/>
  <c r="BJ235" i="4"/>
  <c r="BH235" i="4"/>
  <c r="AB235" i="4" s="1"/>
  <c r="BF235" i="4"/>
  <c r="BD235" i="4"/>
  <c r="AW235" i="4"/>
  <c r="AP235" i="4"/>
  <c r="BI235" i="4" s="1"/>
  <c r="AO235" i="4"/>
  <c r="AL235" i="4"/>
  <c r="AK235" i="4"/>
  <c r="AJ235" i="4"/>
  <c r="AH235" i="4"/>
  <c r="AG235" i="4"/>
  <c r="AF235" i="4"/>
  <c r="AE235" i="4"/>
  <c r="AD235" i="4"/>
  <c r="AC235" i="4"/>
  <c r="Z235" i="4"/>
  <c r="I235" i="4"/>
  <c r="BJ230" i="4"/>
  <c r="BF230" i="4"/>
  <c r="BD230" i="4"/>
  <c r="AX230" i="4"/>
  <c r="AP230" i="4"/>
  <c r="BI230" i="4" s="1"/>
  <c r="AO230" i="4"/>
  <c r="BH230" i="4" s="1"/>
  <c r="AB230" i="4" s="1"/>
  <c r="AK230" i="4"/>
  <c r="AJ230" i="4"/>
  <c r="AH230" i="4"/>
  <c r="AG230" i="4"/>
  <c r="AF230" i="4"/>
  <c r="AE230" i="4"/>
  <c r="AD230" i="4"/>
  <c r="AC230" i="4"/>
  <c r="Z230" i="4"/>
  <c r="I230" i="4"/>
  <c r="AL230" i="4" s="1"/>
  <c r="BJ228" i="4"/>
  <c r="BF228" i="4"/>
  <c r="BD228" i="4"/>
  <c r="AP228" i="4"/>
  <c r="BI228" i="4" s="1"/>
  <c r="AC228" i="4" s="1"/>
  <c r="AO228" i="4"/>
  <c r="BH228" i="4" s="1"/>
  <c r="AB228" i="4" s="1"/>
  <c r="AK228" i="4"/>
  <c r="AJ228" i="4"/>
  <c r="AH228" i="4"/>
  <c r="AG228" i="4"/>
  <c r="AF228" i="4"/>
  <c r="AE228" i="4"/>
  <c r="AD228" i="4"/>
  <c r="Z228" i="4"/>
  <c r="I228" i="4"/>
  <c r="AL228" i="4" s="1"/>
  <c r="BJ226" i="4"/>
  <c r="BF226" i="4"/>
  <c r="BD226" i="4"/>
  <c r="AP226" i="4"/>
  <c r="AX226" i="4" s="1"/>
  <c r="AO226" i="4"/>
  <c r="BH226" i="4" s="1"/>
  <c r="AB226" i="4" s="1"/>
  <c r="AL226" i="4"/>
  <c r="AK226" i="4"/>
  <c r="AJ226" i="4"/>
  <c r="AH226" i="4"/>
  <c r="AG226" i="4"/>
  <c r="AF226" i="4"/>
  <c r="AE226" i="4"/>
  <c r="AD226" i="4"/>
  <c r="Z226" i="4"/>
  <c r="I226" i="4"/>
  <c r="BJ224" i="4"/>
  <c r="BI224" i="4"/>
  <c r="AC224" i="4" s="1"/>
  <c r="BH224" i="4"/>
  <c r="AB224" i="4" s="1"/>
  <c r="BF224" i="4"/>
  <c r="BD224" i="4"/>
  <c r="AX224" i="4"/>
  <c r="AP224" i="4"/>
  <c r="AO224" i="4"/>
  <c r="AW224" i="4" s="1"/>
  <c r="AK224" i="4"/>
  <c r="AT223" i="4" s="1"/>
  <c r="AJ224" i="4"/>
  <c r="AS223" i="4" s="1"/>
  <c r="AH224" i="4"/>
  <c r="AG224" i="4"/>
  <c r="AF224" i="4"/>
  <c r="AE224" i="4"/>
  <c r="AD224" i="4"/>
  <c r="Z224" i="4"/>
  <c r="I224" i="4"/>
  <c r="AL224" i="4" s="1"/>
  <c r="I223" i="4"/>
  <c r="BJ220" i="4"/>
  <c r="BF220" i="4"/>
  <c r="BD220" i="4"/>
  <c r="AW220" i="4"/>
  <c r="AP220" i="4"/>
  <c r="BI220" i="4" s="1"/>
  <c r="AO220" i="4"/>
  <c r="BH220" i="4" s="1"/>
  <c r="AL220" i="4"/>
  <c r="AU219" i="4" s="1"/>
  <c r="AK220" i="4"/>
  <c r="AJ220" i="4"/>
  <c r="AH220" i="4"/>
  <c r="AG220" i="4"/>
  <c r="AF220" i="4"/>
  <c r="AE220" i="4"/>
  <c r="AD220" i="4"/>
  <c r="AC220" i="4"/>
  <c r="AB220" i="4"/>
  <c r="Z220" i="4"/>
  <c r="I220" i="4"/>
  <c r="AT219" i="4"/>
  <c r="AS219" i="4"/>
  <c r="I219" i="4"/>
  <c r="BJ216" i="4"/>
  <c r="BF216" i="4"/>
  <c r="BD216" i="4"/>
  <c r="AP216" i="4"/>
  <c r="BI216" i="4" s="1"/>
  <c r="AC216" i="4" s="1"/>
  <c r="AO216" i="4"/>
  <c r="BH216" i="4" s="1"/>
  <c r="AB216" i="4" s="1"/>
  <c r="AK216" i="4"/>
  <c r="AJ216" i="4"/>
  <c r="AH216" i="4"/>
  <c r="AG216" i="4"/>
  <c r="AF216" i="4"/>
  <c r="AE216" i="4"/>
  <c r="AD216" i="4"/>
  <c r="Z216" i="4"/>
  <c r="I216" i="4"/>
  <c r="AL216" i="4" s="1"/>
  <c r="BJ211" i="4"/>
  <c r="BF211" i="4"/>
  <c r="BD211" i="4"/>
  <c r="AP211" i="4"/>
  <c r="BI211" i="4" s="1"/>
  <c r="AC211" i="4" s="1"/>
  <c r="AO211" i="4"/>
  <c r="BH211" i="4" s="1"/>
  <c r="AB211" i="4" s="1"/>
  <c r="AL211" i="4"/>
  <c r="AK211" i="4"/>
  <c r="AJ211" i="4"/>
  <c r="AH211" i="4"/>
  <c r="AG211" i="4"/>
  <c r="AF211" i="4"/>
  <c r="AE211" i="4"/>
  <c r="AD211" i="4"/>
  <c r="Z211" i="4"/>
  <c r="I211" i="4"/>
  <c r="BJ207" i="4"/>
  <c r="BI207" i="4"/>
  <c r="AC207" i="4" s="1"/>
  <c r="BF207" i="4"/>
  <c r="BD207" i="4"/>
  <c r="AX207" i="4"/>
  <c r="AP207" i="4"/>
  <c r="AO207" i="4"/>
  <c r="BH207" i="4" s="1"/>
  <c r="AB207" i="4" s="1"/>
  <c r="AL207" i="4"/>
  <c r="AK207" i="4"/>
  <c r="AJ207" i="4"/>
  <c r="AH207" i="4"/>
  <c r="AG207" i="4"/>
  <c r="AF207" i="4"/>
  <c r="AE207" i="4"/>
  <c r="AD207" i="4"/>
  <c r="Z207" i="4"/>
  <c r="I207" i="4"/>
  <c r="BJ204" i="4"/>
  <c r="BI204" i="4"/>
  <c r="AC204" i="4" s="1"/>
  <c r="BH204" i="4"/>
  <c r="AB204" i="4" s="1"/>
  <c r="BF204" i="4"/>
  <c r="BD204" i="4"/>
  <c r="AW204" i="4"/>
  <c r="AP204" i="4"/>
  <c r="AX204" i="4" s="1"/>
  <c r="BC204" i="4" s="1"/>
  <c r="AO204" i="4"/>
  <c r="AL204" i="4"/>
  <c r="AK204" i="4"/>
  <c r="AJ204" i="4"/>
  <c r="AH204" i="4"/>
  <c r="AG204" i="4"/>
  <c r="AF204" i="4"/>
  <c r="AE204" i="4"/>
  <c r="AD204" i="4"/>
  <c r="Z204" i="4"/>
  <c r="I204" i="4"/>
  <c r="BJ193" i="4"/>
  <c r="BI193" i="4"/>
  <c r="AC193" i="4" s="1"/>
  <c r="BH193" i="4"/>
  <c r="AB193" i="4" s="1"/>
  <c r="BF193" i="4"/>
  <c r="BD193" i="4"/>
  <c r="AX193" i="4"/>
  <c r="AP193" i="4"/>
  <c r="AO193" i="4"/>
  <c r="AW193" i="4" s="1"/>
  <c r="AK193" i="4"/>
  <c r="AT156" i="4" s="1"/>
  <c r="AJ193" i="4"/>
  <c r="AH193" i="4"/>
  <c r="AG193" i="4"/>
  <c r="AF193" i="4"/>
  <c r="AE193" i="4"/>
  <c r="AD193" i="4"/>
  <c r="Z193" i="4"/>
  <c r="I193" i="4"/>
  <c r="AL193" i="4" s="1"/>
  <c r="BJ162" i="4"/>
  <c r="BI162" i="4"/>
  <c r="AC162" i="4" s="1"/>
  <c r="BH162" i="4"/>
  <c r="AB162" i="4" s="1"/>
  <c r="BF162" i="4"/>
  <c r="BD162" i="4"/>
  <c r="AW162" i="4"/>
  <c r="BC162" i="4" s="1"/>
  <c r="AP162" i="4"/>
  <c r="AX162" i="4" s="1"/>
  <c r="AO162" i="4"/>
  <c r="AK162" i="4"/>
  <c r="AJ162" i="4"/>
  <c r="AS156" i="4" s="1"/>
  <c r="AH162" i="4"/>
  <c r="AG162" i="4"/>
  <c r="AF162" i="4"/>
  <c r="AE162" i="4"/>
  <c r="AD162" i="4"/>
  <c r="Z162" i="4"/>
  <c r="I162" i="4"/>
  <c r="AL162" i="4" s="1"/>
  <c r="BJ159" i="4"/>
  <c r="BI159" i="4"/>
  <c r="AC159" i="4" s="1"/>
  <c r="BH159" i="4"/>
  <c r="AB159" i="4" s="1"/>
  <c r="BF159" i="4"/>
  <c r="BD159" i="4"/>
  <c r="AX159" i="4"/>
  <c r="AP159" i="4"/>
  <c r="AO159" i="4"/>
  <c r="AW159" i="4" s="1"/>
  <c r="AK159" i="4"/>
  <c r="AJ159" i="4"/>
  <c r="AH159" i="4"/>
  <c r="AG159" i="4"/>
  <c r="AF159" i="4"/>
  <c r="AE159" i="4"/>
  <c r="AD159" i="4"/>
  <c r="Z159" i="4"/>
  <c r="I159" i="4"/>
  <c r="AL159" i="4" s="1"/>
  <c r="BJ157" i="4"/>
  <c r="BH157" i="4"/>
  <c r="AB157" i="4" s="1"/>
  <c r="BF157" i="4"/>
  <c r="BD157" i="4"/>
  <c r="AW157" i="4"/>
  <c r="AP157" i="4"/>
  <c r="BI157" i="4" s="1"/>
  <c r="AC157" i="4" s="1"/>
  <c r="AO157" i="4"/>
  <c r="AL157" i="4"/>
  <c r="AK157" i="4"/>
  <c r="AJ157" i="4"/>
  <c r="AH157" i="4"/>
  <c r="AG157" i="4"/>
  <c r="AF157" i="4"/>
  <c r="AE157" i="4"/>
  <c r="AD157" i="4"/>
  <c r="Z157" i="4"/>
  <c r="I157" i="4"/>
  <c r="BJ153" i="4"/>
  <c r="BI153" i="4"/>
  <c r="AC153" i="4" s="1"/>
  <c r="BH153" i="4"/>
  <c r="AB153" i="4" s="1"/>
  <c r="BF153" i="4"/>
  <c r="BD153" i="4"/>
  <c r="AX153" i="4"/>
  <c r="AP153" i="4"/>
  <c r="AO153" i="4"/>
  <c r="AW153" i="4" s="1"/>
  <c r="AK153" i="4"/>
  <c r="AJ153" i="4"/>
  <c r="AH153" i="4"/>
  <c r="AG153" i="4"/>
  <c r="AF153" i="4"/>
  <c r="AE153" i="4"/>
  <c r="AD153" i="4"/>
  <c r="Z153" i="4"/>
  <c r="I153" i="4"/>
  <c r="AL153" i="4" s="1"/>
  <c r="BJ151" i="4"/>
  <c r="BI151" i="4"/>
  <c r="AC151" i="4" s="1"/>
  <c r="BH151" i="4"/>
  <c r="AB151" i="4" s="1"/>
  <c r="BF151" i="4"/>
  <c r="BD151" i="4"/>
  <c r="AW151" i="4"/>
  <c r="AP151" i="4"/>
  <c r="AX151" i="4" s="1"/>
  <c r="AO151" i="4"/>
  <c r="AK151" i="4"/>
  <c r="AJ151" i="4"/>
  <c r="AH151" i="4"/>
  <c r="AG151" i="4"/>
  <c r="AF151" i="4"/>
  <c r="AE151" i="4"/>
  <c r="AD151" i="4"/>
  <c r="Z151" i="4"/>
  <c r="I151" i="4"/>
  <c r="AL151" i="4" s="1"/>
  <c r="BJ149" i="4"/>
  <c r="BI149" i="4"/>
  <c r="BH149" i="4"/>
  <c r="AB149" i="4" s="1"/>
  <c r="BF149" i="4"/>
  <c r="BD149" i="4"/>
  <c r="AX149" i="4"/>
  <c r="AP149" i="4"/>
  <c r="AO149" i="4"/>
  <c r="AW149" i="4" s="1"/>
  <c r="AK149" i="4"/>
  <c r="AJ149" i="4"/>
  <c r="AH149" i="4"/>
  <c r="AG149" i="4"/>
  <c r="AF149" i="4"/>
  <c r="AE149" i="4"/>
  <c r="AD149" i="4"/>
  <c r="AC149" i="4"/>
  <c r="Z149" i="4"/>
  <c r="I149" i="4"/>
  <c r="AL149" i="4" s="1"/>
  <c r="BJ147" i="4"/>
  <c r="BH147" i="4"/>
  <c r="BF147" i="4"/>
  <c r="BD147" i="4"/>
  <c r="AW147" i="4"/>
  <c r="AP147" i="4"/>
  <c r="BI147" i="4" s="1"/>
  <c r="AC147" i="4" s="1"/>
  <c r="AO147" i="4"/>
  <c r="AL147" i="4"/>
  <c r="AK147" i="4"/>
  <c r="AJ147" i="4"/>
  <c r="AH147" i="4"/>
  <c r="AG147" i="4"/>
  <c r="AF147" i="4"/>
  <c r="AE147" i="4"/>
  <c r="AD147" i="4"/>
  <c r="AB147" i="4"/>
  <c r="Z147" i="4"/>
  <c r="I147" i="4"/>
  <c r="BJ145" i="4"/>
  <c r="BI145" i="4"/>
  <c r="BF145" i="4"/>
  <c r="BD145" i="4"/>
  <c r="AX145" i="4"/>
  <c r="AP145" i="4"/>
  <c r="AO145" i="4"/>
  <c r="BH145" i="4" s="1"/>
  <c r="AB145" i="4" s="1"/>
  <c r="AK145" i="4"/>
  <c r="AJ145" i="4"/>
  <c r="AH145" i="4"/>
  <c r="AG145" i="4"/>
  <c r="AF145" i="4"/>
  <c r="AE145" i="4"/>
  <c r="AD145" i="4"/>
  <c r="AC145" i="4"/>
  <c r="Z145" i="4"/>
  <c r="I145" i="4"/>
  <c r="AL145" i="4" s="1"/>
  <c r="BJ143" i="4"/>
  <c r="BI143" i="4"/>
  <c r="BH143" i="4"/>
  <c r="BF143" i="4"/>
  <c r="BD143" i="4"/>
  <c r="AX143" i="4"/>
  <c r="AW143" i="4"/>
  <c r="BC143" i="4" s="1"/>
  <c r="AP143" i="4"/>
  <c r="AO143" i="4"/>
  <c r="AL143" i="4"/>
  <c r="AK143" i="4"/>
  <c r="AJ143" i="4"/>
  <c r="AH143" i="4"/>
  <c r="AG143" i="4"/>
  <c r="AF143" i="4"/>
  <c r="AE143" i="4"/>
  <c r="AD143" i="4"/>
  <c r="AC143" i="4"/>
  <c r="AB143" i="4"/>
  <c r="Z143" i="4"/>
  <c r="I143" i="4"/>
  <c r="BJ141" i="4"/>
  <c r="BH141" i="4"/>
  <c r="BF141" i="4"/>
  <c r="BD141" i="4"/>
  <c r="AX141" i="4"/>
  <c r="AW141" i="4"/>
  <c r="BC141" i="4" s="1"/>
  <c r="AV141" i="4"/>
  <c r="AP141" i="4"/>
  <c r="BI141" i="4" s="1"/>
  <c r="AC141" i="4" s="1"/>
  <c r="AO141" i="4"/>
  <c r="AK141" i="4"/>
  <c r="AJ141" i="4"/>
  <c r="AH141" i="4"/>
  <c r="AG141" i="4"/>
  <c r="AF141" i="4"/>
  <c r="AE141" i="4"/>
  <c r="AD141" i="4"/>
  <c r="AB141" i="4"/>
  <c r="Z141" i="4"/>
  <c r="I141" i="4"/>
  <c r="AL141" i="4" s="1"/>
  <c r="BJ139" i="4"/>
  <c r="BF139" i="4"/>
  <c r="BD139" i="4"/>
  <c r="AW139" i="4"/>
  <c r="AP139" i="4"/>
  <c r="BI139" i="4" s="1"/>
  <c r="AC139" i="4" s="1"/>
  <c r="AO139" i="4"/>
  <c r="BH139" i="4" s="1"/>
  <c r="AB139" i="4" s="1"/>
  <c r="AK139" i="4"/>
  <c r="AJ139" i="4"/>
  <c r="AH139" i="4"/>
  <c r="AG139" i="4"/>
  <c r="AF139" i="4"/>
  <c r="AE139" i="4"/>
  <c r="AD139" i="4"/>
  <c r="Z139" i="4"/>
  <c r="I139" i="4"/>
  <c r="AL139" i="4" s="1"/>
  <c r="BJ136" i="4"/>
  <c r="BF136" i="4"/>
  <c r="BD136" i="4"/>
  <c r="AP136" i="4"/>
  <c r="BI136" i="4" s="1"/>
  <c r="AC136" i="4" s="1"/>
  <c r="AO136" i="4"/>
  <c r="BH136" i="4" s="1"/>
  <c r="AB136" i="4" s="1"/>
  <c r="AK136" i="4"/>
  <c r="AJ136" i="4"/>
  <c r="AH136" i="4"/>
  <c r="AG136" i="4"/>
  <c r="AF136" i="4"/>
  <c r="AE136" i="4"/>
  <c r="AD136" i="4"/>
  <c r="Z136" i="4"/>
  <c r="I136" i="4"/>
  <c r="AL136" i="4" s="1"/>
  <c r="BJ134" i="4"/>
  <c r="BF134" i="4"/>
  <c r="BD134" i="4"/>
  <c r="AP134" i="4"/>
  <c r="BI134" i="4" s="1"/>
  <c r="AC134" i="4" s="1"/>
  <c r="AO134" i="4"/>
  <c r="BH134" i="4" s="1"/>
  <c r="AB134" i="4" s="1"/>
  <c r="AL134" i="4"/>
  <c r="AK134" i="4"/>
  <c r="AJ134" i="4"/>
  <c r="AH134" i="4"/>
  <c r="AG134" i="4"/>
  <c r="AF134" i="4"/>
  <c r="AE134" i="4"/>
  <c r="AD134" i="4"/>
  <c r="Z134" i="4"/>
  <c r="I134" i="4"/>
  <c r="BJ132" i="4"/>
  <c r="BI132" i="4"/>
  <c r="AC132" i="4" s="1"/>
  <c r="BF132" i="4"/>
  <c r="BD132" i="4"/>
  <c r="AX132" i="4"/>
  <c r="AP132" i="4"/>
  <c r="AO132" i="4"/>
  <c r="BH132" i="4" s="1"/>
  <c r="AB132" i="4" s="1"/>
  <c r="AL132" i="4"/>
  <c r="AK132" i="4"/>
  <c r="AJ132" i="4"/>
  <c r="AH132" i="4"/>
  <c r="AG132" i="4"/>
  <c r="AF132" i="4"/>
  <c r="AE132" i="4"/>
  <c r="AD132" i="4"/>
  <c r="Z132" i="4"/>
  <c r="I132" i="4"/>
  <c r="BJ130" i="4"/>
  <c r="BI130" i="4"/>
  <c r="AC130" i="4" s="1"/>
  <c r="BH130" i="4"/>
  <c r="AB130" i="4" s="1"/>
  <c r="BF130" i="4"/>
  <c r="BD130" i="4"/>
  <c r="AW130" i="4"/>
  <c r="AV130" i="4" s="1"/>
  <c r="AP130" i="4"/>
  <c r="AX130" i="4" s="1"/>
  <c r="BC130" i="4" s="1"/>
  <c r="AO130" i="4"/>
  <c r="AL130" i="4"/>
  <c r="AK130" i="4"/>
  <c r="AJ130" i="4"/>
  <c r="AH130" i="4"/>
  <c r="AG130" i="4"/>
  <c r="AF130" i="4"/>
  <c r="AE130" i="4"/>
  <c r="AD130" i="4"/>
  <c r="Z130" i="4"/>
  <c r="I130" i="4"/>
  <c r="BJ128" i="4"/>
  <c r="BI128" i="4"/>
  <c r="AC128" i="4" s="1"/>
  <c r="BH128" i="4"/>
  <c r="AB128" i="4" s="1"/>
  <c r="BF128" i="4"/>
  <c r="BD128" i="4"/>
  <c r="AX128" i="4"/>
  <c r="AP128" i="4"/>
  <c r="AO128" i="4"/>
  <c r="AW128" i="4" s="1"/>
  <c r="AK128" i="4"/>
  <c r="AJ128" i="4"/>
  <c r="AH128" i="4"/>
  <c r="AG128" i="4"/>
  <c r="AF128" i="4"/>
  <c r="AE128" i="4"/>
  <c r="AD128" i="4"/>
  <c r="Z128" i="4"/>
  <c r="I128" i="4"/>
  <c r="AL128" i="4" s="1"/>
  <c r="BJ119" i="4"/>
  <c r="BI119" i="4"/>
  <c r="AC119" i="4" s="1"/>
  <c r="BH119" i="4"/>
  <c r="AB119" i="4" s="1"/>
  <c r="BF119" i="4"/>
  <c r="BD119" i="4"/>
  <c r="AW119" i="4"/>
  <c r="BC119" i="4" s="1"/>
  <c r="AP119" i="4"/>
  <c r="AX119" i="4" s="1"/>
  <c r="AO119" i="4"/>
  <c r="AK119" i="4"/>
  <c r="AJ119" i="4"/>
  <c r="AH119" i="4"/>
  <c r="AG119" i="4"/>
  <c r="AF119" i="4"/>
  <c r="AE119" i="4"/>
  <c r="AD119" i="4"/>
  <c r="Z119" i="4"/>
  <c r="I119" i="4"/>
  <c r="AL119" i="4" s="1"/>
  <c r="BJ117" i="4"/>
  <c r="BI117" i="4"/>
  <c r="BH117" i="4"/>
  <c r="AB117" i="4" s="1"/>
  <c r="BF117" i="4"/>
  <c r="BD117" i="4"/>
  <c r="AX117" i="4"/>
  <c r="AP117" i="4"/>
  <c r="AO117" i="4"/>
  <c r="AW117" i="4" s="1"/>
  <c r="AK117" i="4"/>
  <c r="AJ117" i="4"/>
  <c r="AH117" i="4"/>
  <c r="AG117" i="4"/>
  <c r="AF117" i="4"/>
  <c r="AE117" i="4"/>
  <c r="AD117" i="4"/>
  <c r="AC117" i="4"/>
  <c r="Z117" i="4"/>
  <c r="I117" i="4"/>
  <c r="AL117" i="4" s="1"/>
  <c r="BJ101" i="4"/>
  <c r="BH101" i="4"/>
  <c r="BF101" i="4"/>
  <c r="BD101" i="4"/>
  <c r="AW101" i="4"/>
  <c r="AP101" i="4"/>
  <c r="BI101" i="4" s="1"/>
  <c r="AC101" i="4" s="1"/>
  <c r="AO101" i="4"/>
  <c r="AL101" i="4"/>
  <c r="AK101" i="4"/>
  <c r="AJ101" i="4"/>
  <c r="AH101" i="4"/>
  <c r="AG101" i="4"/>
  <c r="AF101" i="4"/>
  <c r="AE101" i="4"/>
  <c r="AD101" i="4"/>
  <c r="AB101" i="4"/>
  <c r="Z101" i="4"/>
  <c r="I101" i="4"/>
  <c r="BJ98" i="4"/>
  <c r="BI98" i="4"/>
  <c r="BF98" i="4"/>
  <c r="BD98" i="4"/>
  <c r="AX98" i="4"/>
  <c r="AP98" i="4"/>
  <c r="AO98" i="4"/>
  <c r="BH98" i="4" s="1"/>
  <c r="AB98" i="4" s="1"/>
  <c r="AK98" i="4"/>
  <c r="AJ98" i="4"/>
  <c r="AH98" i="4"/>
  <c r="AG98" i="4"/>
  <c r="AF98" i="4"/>
  <c r="AE98" i="4"/>
  <c r="AD98" i="4"/>
  <c r="AC98" i="4"/>
  <c r="Z98" i="4"/>
  <c r="I98" i="4"/>
  <c r="AL98" i="4" s="1"/>
  <c r="BJ94" i="4"/>
  <c r="BI94" i="4"/>
  <c r="BH94" i="4"/>
  <c r="BF94" i="4"/>
  <c r="BD94" i="4"/>
  <c r="AX94" i="4"/>
  <c r="AW94" i="4"/>
  <c r="BC94" i="4" s="1"/>
  <c r="AP94" i="4"/>
  <c r="AO94" i="4"/>
  <c r="AL94" i="4"/>
  <c r="AK94" i="4"/>
  <c r="AJ94" i="4"/>
  <c r="AH94" i="4"/>
  <c r="AG94" i="4"/>
  <c r="AF94" i="4"/>
  <c r="AE94" i="4"/>
  <c r="AD94" i="4"/>
  <c r="AC94" i="4"/>
  <c r="AB94" i="4"/>
  <c r="Z94" i="4"/>
  <c r="I94" i="4"/>
  <c r="BJ88" i="4"/>
  <c r="BH88" i="4"/>
  <c r="BF88" i="4"/>
  <c r="BD88" i="4"/>
  <c r="AX88" i="4"/>
  <c r="AW88" i="4"/>
  <c r="BC88" i="4" s="1"/>
  <c r="AV88" i="4"/>
  <c r="AP88" i="4"/>
  <c r="BI88" i="4" s="1"/>
  <c r="AC88" i="4" s="1"/>
  <c r="AO88" i="4"/>
  <c r="AK88" i="4"/>
  <c r="AJ88" i="4"/>
  <c r="AH88" i="4"/>
  <c r="AG88" i="4"/>
  <c r="AF88" i="4"/>
  <c r="AE88" i="4"/>
  <c r="AD88" i="4"/>
  <c r="AB88" i="4"/>
  <c r="Z88" i="4"/>
  <c r="I88" i="4"/>
  <c r="AL88" i="4" s="1"/>
  <c r="BJ86" i="4"/>
  <c r="BF86" i="4"/>
  <c r="BD86" i="4"/>
  <c r="AW86" i="4"/>
  <c r="AP86" i="4"/>
  <c r="BI86" i="4" s="1"/>
  <c r="AC86" i="4" s="1"/>
  <c r="AO86" i="4"/>
  <c r="BH86" i="4" s="1"/>
  <c r="AB86" i="4" s="1"/>
  <c r="AK86" i="4"/>
  <c r="AJ86" i="4"/>
  <c r="AH86" i="4"/>
  <c r="AG86" i="4"/>
  <c r="AF86" i="4"/>
  <c r="AE86" i="4"/>
  <c r="AD86" i="4"/>
  <c r="Z86" i="4"/>
  <c r="I86" i="4"/>
  <c r="AL86" i="4" s="1"/>
  <c r="BJ84" i="4"/>
  <c r="BF84" i="4"/>
  <c r="BD84" i="4"/>
  <c r="AP84" i="4"/>
  <c r="BI84" i="4" s="1"/>
  <c r="AC84" i="4" s="1"/>
  <c r="AO84" i="4"/>
  <c r="BH84" i="4" s="1"/>
  <c r="AB84" i="4" s="1"/>
  <c r="AK84" i="4"/>
  <c r="AJ84" i="4"/>
  <c r="AH84" i="4"/>
  <c r="AG84" i="4"/>
  <c r="AF84" i="4"/>
  <c r="AE84" i="4"/>
  <c r="AD84" i="4"/>
  <c r="Z84" i="4"/>
  <c r="I84" i="4"/>
  <c r="I63" i="4" s="1"/>
  <c r="BJ82" i="4"/>
  <c r="BF82" i="4"/>
  <c r="BD82" i="4"/>
  <c r="AP82" i="4"/>
  <c r="BI82" i="4" s="1"/>
  <c r="AC82" i="4" s="1"/>
  <c r="AO82" i="4"/>
  <c r="BH82" i="4" s="1"/>
  <c r="AB82" i="4" s="1"/>
  <c r="AL82" i="4"/>
  <c r="AK82" i="4"/>
  <c r="AJ82" i="4"/>
  <c r="AH82" i="4"/>
  <c r="AG82" i="4"/>
  <c r="AF82" i="4"/>
  <c r="AE82" i="4"/>
  <c r="AD82" i="4"/>
  <c r="Z82" i="4"/>
  <c r="I82" i="4"/>
  <c r="BJ80" i="4"/>
  <c r="BI80" i="4"/>
  <c r="AC80" i="4" s="1"/>
  <c r="BF80" i="4"/>
  <c r="BD80" i="4"/>
  <c r="AX80" i="4"/>
  <c r="AP80" i="4"/>
  <c r="AO80" i="4"/>
  <c r="BH80" i="4" s="1"/>
  <c r="AB80" i="4" s="1"/>
  <c r="AL80" i="4"/>
  <c r="AK80" i="4"/>
  <c r="AJ80" i="4"/>
  <c r="AH80" i="4"/>
  <c r="AG80" i="4"/>
  <c r="AF80" i="4"/>
  <c r="AE80" i="4"/>
  <c r="AD80" i="4"/>
  <c r="Z80" i="4"/>
  <c r="I80" i="4"/>
  <c r="BJ74" i="4"/>
  <c r="BI74" i="4"/>
  <c r="AC74" i="4" s="1"/>
  <c r="BH74" i="4"/>
  <c r="AB74" i="4" s="1"/>
  <c r="BF74" i="4"/>
  <c r="BD74" i="4"/>
  <c r="AW74" i="4"/>
  <c r="AP74" i="4"/>
  <c r="AX74" i="4" s="1"/>
  <c r="BC74" i="4" s="1"/>
  <c r="AO74" i="4"/>
  <c r="AL74" i="4"/>
  <c r="AK74" i="4"/>
  <c r="AJ74" i="4"/>
  <c r="AH74" i="4"/>
  <c r="AG74" i="4"/>
  <c r="AF74" i="4"/>
  <c r="AE74" i="4"/>
  <c r="AD74" i="4"/>
  <c r="Z74" i="4"/>
  <c r="I74" i="4"/>
  <c r="BJ67" i="4"/>
  <c r="BI67" i="4"/>
  <c r="AC67" i="4" s="1"/>
  <c r="BH67" i="4"/>
  <c r="AB67" i="4" s="1"/>
  <c r="BF67" i="4"/>
  <c r="BD67" i="4"/>
  <c r="AX67" i="4"/>
  <c r="AP67" i="4"/>
  <c r="AO67" i="4"/>
  <c r="AW67" i="4" s="1"/>
  <c r="AK67" i="4"/>
  <c r="AT63" i="4" s="1"/>
  <c r="AJ67" i="4"/>
  <c r="AH67" i="4"/>
  <c r="AG67" i="4"/>
  <c r="AF67" i="4"/>
  <c r="AE67" i="4"/>
  <c r="AD67" i="4"/>
  <c r="Z67" i="4"/>
  <c r="I67" i="4"/>
  <c r="AL67" i="4" s="1"/>
  <c r="BJ64" i="4"/>
  <c r="BI64" i="4"/>
  <c r="AC64" i="4" s="1"/>
  <c r="BH64" i="4"/>
  <c r="AB64" i="4" s="1"/>
  <c r="BF64" i="4"/>
  <c r="BD64" i="4"/>
  <c r="AW64" i="4"/>
  <c r="BC64" i="4" s="1"/>
  <c r="AP64" i="4"/>
  <c r="AX64" i="4" s="1"/>
  <c r="AO64" i="4"/>
  <c r="AK64" i="4"/>
  <c r="AJ64" i="4"/>
  <c r="AS63" i="4" s="1"/>
  <c r="AH64" i="4"/>
  <c r="AG64" i="4"/>
  <c r="AF64" i="4"/>
  <c r="AE64" i="4"/>
  <c r="AD64" i="4"/>
  <c r="Z64" i="4"/>
  <c r="I64" i="4"/>
  <c r="AL64" i="4" s="1"/>
  <c r="BJ60" i="4"/>
  <c r="BI60" i="4"/>
  <c r="AC60" i="4" s="1"/>
  <c r="BF60" i="4"/>
  <c r="BD60" i="4"/>
  <c r="AX60" i="4"/>
  <c r="AP60" i="4"/>
  <c r="AO60" i="4"/>
  <c r="BH60" i="4" s="1"/>
  <c r="AB60" i="4" s="1"/>
  <c r="AL60" i="4"/>
  <c r="AK60" i="4"/>
  <c r="AJ60" i="4"/>
  <c r="AH60" i="4"/>
  <c r="AG60" i="4"/>
  <c r="AF60" i="4"/>
  <c r="AE60" i="4"/>
  <c r="AD60" i="4"/>
  <c r="Z60" i="4"/>
  <c r="I60" i="4"/>
  <c r="BJ57" i="4"/>
  <c r="BI57" i="4"/>
  <c r="AC57" i="4" s="1"/>
  <c r="BH57" i="4"/>
  <c r="AB57" i="4" s="1"/>
  <c r="BF57" i="4"/>
  <c r="BD57" i="4"/>
  <c r="AW57" i="4"/>
  <c r="AP57" i="4"/>
  <c r="AX57" i="4" s="1"/>
  <c r="BC57" i="4" s="1"/>
  <c r="AO57" i="4"/>
  <c r="AL57" i="4"/>
  <c r="AK57" i="4"/>
  <c r="AJ57" i="4"/>
  <c r="AH57" i="4"/>
  <c r="AG57" i="4"/>
  <c r="AF57" i="4"/>
  <c r="AE57" i="4"/>
  <c r="AD57" i="4"/>
  <c r="Z57" i="4"/>
  <c r="I57" i="4"/>
  <c r="BJ52" i="4"/>
  <c r="BI52" i="4"/>
  <c r="AC52" i="4" s="1"/>
  <c r="BH52" i="4"/>
  <c r="AB52" i="4" s="1"/>
  <c r="BF52" i="4"/>
  <c r="BD52" i="4"/>
  <c r="AX52" i="4"/>
  <c r="AP52" i="4"/>
  <c r="AO52" i="4"/>
  <c r="AW52" i="4" s="1"/>
  <c r="AK52" i="4"/>
  <c r="AT39" i="4" s="1"/>
  <c r="AJ52" i="4"/>
  <c r="AH52" i="4"/>
  <c r="AG52" i="4"/>
  <c r="AF52" i="4"/>
  <c r="AE52" i="4"/>
  <c r="AD52" i="4"/>
  <c r="Z52" i="4"/>
  <c r="I52" i="4"/>
  <c r="AL52" i="4" s="1"/>
  <c r="BJ45" i="4"/>
  <c r="BI45" i="4"/>
  <c r="AC45" i="4" s="1"/>
  <c r="BH45" i="4"/>
  <c r="AB45" i="4" s="1"/>
  <c r="BF45" i="4"/>
  <c r="BD45" i="4"/>
  <c r="AW45" i="4"/>
  <c r="BC45" i="4" s="1"/>
  <c r="AP45" i="4"/>
  <c r="AX45" i="4" s="1"/>
  <c r="AO45" i="4"/>
  <c r="AK45" i="4"/>
  <c r="AJ45" i="4"/>
  <c r="AS39" i="4" s="1"/>
  <c r="AH45" i="4"/>
  <c r="AG45" i="4"/>
  <c r="AF45" i="4"/>
  <c r="AE45" i="4"/>
  <c r="AD45" i="4"/>
  <c r="Z45" i="4"/>
  <c r="I45" i="4"/>
  <c r="AL45" i="4" s="1"/>
  <c r="BJ43" i="4"/>
  <c r="BI43" i="4"/>
  <c r="BH43" i="4"/>
  <c r="AB43" i="4" s="1"/>
  <c r="BF43" i="4"/>
  <c r="BD43" i="4"/>
  <c r="AX43" i="4"/>
  <c r="AP43" i="4"/>
  <c r="AO43" i="4"/>
  <c r="AW43" i="4" s="1"/>
  <c r="AK43" i="4"/>
  <c r="AJ43" i="4"/>
  <c r="AH43" i="4"/>
  <c r="AG43" i="4"/>
  <c r="AF43" i="4"/>
  <c r="AE43" i="4"/>
  <c r="AD43" i="4"/>
  <c r="AC43" i="4"/>
  <c r="Z43" i="4"/>
  <c r="I43" i="4"/>
  <c r="AL43" i="4" s="1"/>
  <c r="AU39" i="4" s="1"/>
  <c r="BJ40" i="4"/>
  <c r="BH40" i="4"/>
  <c r="BF40" i="4"/>
  <c r="BD40" i="4"/>
  <c r="AW40" i="4"/>
  <c r="AP40" i="4"/>
  <c r="BI40" i="4" s="1"/>
  <c r="AC40" i="4" s="1"/>
  <c r="AO40" i="4"/>
  <c r="AL40" i="4"/>
  <c r="AK40" i="4"/>
  <c r="AJ40" i="4"/>
  <c r="AH40" i="4"/>
  <c r="AG40" i="4"/>
  <c r="AF40" i="4"/>
  <c r="AE40" i="4"/>
  <c r="AD40" i="4"/>
  <c r="AB40" i="4"/>
  <c r="Z40" i="4"/>
  <c r="I40" i="4"/>
  <c r="BJ37" i="4"/>
  <c r="BI37" i="4"/>
  <c r="AC37" i="4" s="1"/>
  <c r="BH37" i="4"/>
  <c r="AB37" i="4" s="1"/>
  <c r="BF37" i="4"/>
  <c r="BD37" i="4"/>
  <c r="AX37" i="4"/>
  <c r="AP37" i="4"/>
  <c r="AO37" i="4"/>
  <c r="AW37" i="4" s="1"/>
  <c r="AK37" i="4"/>
  <c r="AT36" i="4" s="1"/>
  <c r="AJ37" i="4"/>
  <c r="AH37" i="4"/>
  <c r="AG37" i="4"/>
  <c r="AF37" i="4"/>
  <c r="AE37" i="4"/>
  <c r="AD37" i="4"/>
  <c r="Z37" i="4"/>
  <c r="I37" i="4"/>
  <c r="AL37" i="4" s="1"/>
  <c r="AU36" i="4" s="1"/>
  <c r="AS36" i="4"/>
  <c r="I36" i="4"/>
  <c r="BJ34" i="4"/>
  <c r="BF34" i="4"/>
  <c r="BD34" i="4"/>
  <c r="AP34" i="4"/>
  <c r="BI34" i="4" s="1"/>
  <c r="AO34" i="4"/>
  <c r="BH34" i="4" s="1"/>
  <c r="AL34" i="4"/>
  <c r="AK34" i="4"/>
  <c r="AJ34" i="4"/>
  <c r="AH34" i="4"/>
  <c r="AG34" i="4"/>
  <c r="AF34" i="4"/>
  <c r="AE34" i="4"/>
  <c r="AD34" i="4"/>
  <c r="AC34" i="4"/>
  <c r="AB34" i="4"/>
  <c r="Z34" i="4"/>
  <c r="I34" i="4"/>
  <c r="BJ32" i="4"/>
  <c r="BI32" i="4"/>
  <c r="AC32" i="4" s="1"/>
  <c r="BF32" i="4"/>
  <c r="BD32" i="4"/>
  <c r="AX32" i="4"/>
  <c r="AP32" i="4"/>
  <c r="AO32" i="4"/>
  <c r="BH32" i="4" s="1"/>
  <c r="AB32" i="4" s="1"/>
  <c r="AL32" i="4"/>
  <c r="AK32" i="4"/>
  <c r="AJ32" i="4"/>
  <c r="AH32" i="4"/>
  <c r="AG32" i="4"/>
  <c r="AF32" i="4"/>
  <c r="AE32" i="4"/>
  <c r="AD32" i="4"/>
  <c r="Z32" i="4"/>
  <c r="I32" i="4"/>
  <c r="BJ30" i="4"/>
  <c r="BI30" i="4"/>
  <c r="AC30" i="4" s="1"/>
  <c r="BH30" i="4"/>
  <c r="AB30" i="4" s="1"/>
  <c r="BF30" i="4"/>
  <c r="BD30" i="4"/>
  <c r="AW30" i="4"/>
  <c r="AV30" i="4" s="1"/>
  <c r="AP30" i="4"/>
  <c r="AX30" i="4" s="1"/>
  <c r="BC30" i="4" s="1"/>
  <c r="AO30" i="4"/>
  <c r="AL30" i="4"/>
  <c r="AK30" i="4"/>
  <c r="AJ30" i="4"/>
  <c r="AH30" i="4"/>
  <c r="AG30" i="4"/>
  <c r="AF30" i="4"/>
  <c r="AE30" i="4"/>
  <c r="AD30" i="4"/>
  <c r="Z30" i="4"/>
  <c r="I30" i="4"/>
  <c r="BJ28" i="4"/>
  <c r="BI28" i="4"/>
  <c r="AC28" i="4" s="1"/>
  <c r="BH28" i="4"/>
  <c r="AB28" i="4" s="1"/>
  <c r="BF28" i="4"/>
  <c r="BD28" i="4"/>
  <c r="AX28" i="4"/>
  <c r="AP28" i="4"/>
  <c r="AO28" i="4"/>
  <c r="AW28" i="4" s="1"/>
  <c r="AK28" i="4"/>
  <c r="AT27" i="4" s="1"/>
  <c r="AJ28" i="4"/>
  <c r="C27" i="1" s="1"/>
  <c r="AH28" i="4"/>
  <c r="C20" i="1" s="1"/>
  <c r="AG28" i="4"/>
  <c r="AF28" i="4"/>
  <c r="AE28" i="4"/>
  <c r="AD28" i="4"/>
  <c r="Z28" i="4"/>
  <c r="I28" i="4"/>
  <c r="AL28" i="4" s="1"/>
  <c r="AU27" i="4" s="1"/>
  <c r="I27" i="4"/>
  <c r="BJ20" i="4"/>
  <c r="BF20" i="4"/>
  <c r="BD20" i="4"/>
  <c r="AP20" i="4"/>
  <c r="BI20" i="4" s="1"/>
  <c r="AC20" i="4" s="1"/>
  <c r="AO20" i="4"/>
  <c r="BH20" i="4" s="1"/>
  <c r="AB20" i="4" s="1"/>
  <c r="AL20" i="4"/>
  <c r="AU19" i="4" s="1"/>
  <c r="AK20" i="4"/>
  <c r="AJ20" i="4"/>
  <c r="AH20" i="4"/>
  <c r="AG20" i="4"/>
  <c r="AF20" i="4"/>
  <c r="AE20" i="4"/>
  <c r="AD20" i="4"/>
  <c r="Z20" i="4"/>
  <c r="I20" i="4"/>
  <c r="I19" i="4" s="1"/>
  <c r="AT19" i="4"/>
  <c r="AS19" i="4"/>
  <c r="BJ17" i="4"/>
  <c r="BH17" i="4"/>
  <c r="BF17" i="4"/>
  <c r="BD17" i="4"/>
  <c r="AX17" i="4"/>
  <c r="AW17" i="4"/>
  <c r="BC17" i="4" s="1"/>
  <c r="AV17" i="4"/>
  <c r="AP17" i="4"/>
  <c r="BI17" i="4" s="1"/>
  <c r="AC17" i="4" s="1"/>
  <c r="AO17" i="4"/>
  <c r="AK17" i="4"/>
  <c r="AT16" i="4" s="1"/>
  <c r="AJ17" i="4"/>
  <c r="AH17" i="4"/>
  <c r="AG17" i="4"/>
  <c r="AF17" i="4"/>
  <c r="AE17" i="4"/>
  <c r="AD17" i="4"/>
  <c r="AB17" i="4"/>
  <c r="Z17" i="4"/>
  <c r="I17" i="4"/>
  <c r="AL17" i="4" s="1"/>
  <c r="AS16" i="4"/>
  <c r="I16" i="4"/>
  <c r="BJ14" i="4"/>
  <c r="BH14" i="4"/>
  <c r="BF14" i="4"/>
  <c r="BD14" i="4"/>
  <c r="AW14" i="4"/>
  <c r="AP14" i="4"/>
  <c r="BI14" i="4" s="1"/>
  <c r="AC14" i="4" s="1"/>
  <c r="AO14" i="4"/>
  <c r="AL14" i="4"/>
  <c r="AK14" i="4"/>
  <c r="AJ14" i="4"/>
  <c r="AH14" i="4"/>
  <c r="AG14" i="4"/>
  <c r="AF14" i="4"/>
  <c r="AE14" i="4"/>
  <c r="AD14" i="4"/>
  <c r="AB14" i="4"/>
  <c r="Z14" i="4"/>
  <c r="C21" i="1" s="1"/>
  <c r="I14" i="4"/>
  <c r="AU13" i="4"/>
  <c r="AT13" i="4"/>
  <c r="AS13" i="4"/>
  <c r="I13" i="4"/>
  <c r="AU1" i="4"/>
  <c r="AT1" i="4"/>
  <c r="AS1" i="4"/>
  <c r="N16" i="3"/>
  <c r="N15" i="3"/>
  <c r="N14" i="3"/>
  <c r="N13" i="3"/>
  <c r="N12" i="3"/>
  <c r="J8" i="3"/>
  <c r="H8" i="3"/>
  <c r="D8" i="3"/>
  <c r="J6" i="3"/>
  <c r="H6" i="3"/>
  <c r="D6" i="3"/>
  <c r="J4" i="3"/>
  <c r="H4" i="3"/>
  <c r="D4" i="3"/>
  <c r="J2" i="3"/>
  <c r="H2" i="3"/>
  <c r="D2" i="3"/>
  <c r="F44" i="2"/>
  <c r="I44" i="2" s="1"/>
  <c r="F43" i="2"/>
  <c r="I43" i="2" s="1"/>
  <c r="F42" i="2"/>
  <c r="I42" i="2" s="1"/>
  <c r="I41" i="2"/>
  <c r="F41" i="2"/>
  <c r="F40" i="2"/>
  <c r="I40" i="2" s="1"/>
  <c r="F39" i="2"/>
  <c r="I39" i="2" s="1"/>
  <c r="F38" i="2"/>
  <c r="I38" i="2" s="1"/>
  <c r="F37" i="2"/>
  <c r="I37" i="2" s="1"/>
  <c r="F36" i="2"/>
  <c r="I36" i="2" s="1"/>
  <c r="I35" i="2"/>
  <c r="F35" i="2"/>
  <c r="I26" i="2"/>
  <c r="I25" i="2"/>
  <c r="I18" i="1" s="1"/>
  <c r="I24" i="2"/>
  <c r="I23" i="2"/>
  <c r="I16" i="1" s="1"/>
  <c r="I22" i="2"/>
  <c r="I15" i="1" s="1"/>
  <c r="I14" i="1"/>
  <c r="I17" i="2"/>
  <c r="F16" i="1" s="1"/>
  <c r="I16" i="2"/>
  <c r="I15" i="2"/>
  <c r="F14" i="1" s="1"/>
  <c r="I10" i="2"/>
  <c r="F10" i="2"/>
  <c r="C10" i="2"/>
  <c r="F8" i="2"/>
  <c r="C8" i="2"/>
  <c r="F6" i="2"/>
  <c r="C6" i="2"/>
  <c r="F4" i="2"/>
  <c r="C4" i="2"/>
  <c r="F2" i="2"/>
  <c r="C2" i="2"/>
  <c r="I19" i="1"/>
  <c r="I17" i="1"/>
  <c r="F15" i="1"/>
  <c r="I10" i="1"/>
  <c r="F10" i="1"/>
  <c r="C10" i="1"/>
  <c r="F8" i="1"/>
  <c r="C8" i="1"/>
  <c r="F6" i="1"/>
  <c r="C6" i="1"/>
  <c r="F4" i="1"/>
  <c r="C4" i="1"/>
  <c r="F2" i="1"/>
  <c r="C2" i="1"/>
  <c r="F22" i="1" l="1"/>
  <c r="I22" i="1"/>
  <c r="BC193" i="4"/>
  <c r="AV193" i="4"/>
  <c r="AV279" i="4"/>
  <c r="BC279" i="4"/>
  <c r="AV432" i="4"/>
  <c r="BC432" i="4"/>
  <c r="AV101" i="4"/>
  <c r="BC151" i="4"/>
  <c r="BC235" i="4"/>
  <c r="I45" i="2"/>
  <c r="I24" i="1" s="1"/>
  <c r="BC128" i="4"/>
  <c r="AV128" i="4"/>
  <c r="AV159" i="4"/>
  <c r="BC159" i="4"/>
  <c r="AV306" i="4"/>
  <c r="AV117" i="4"/>
  <c r="BC117" i="4"/>
  <c r="BC153" i="4"/>
  <c r="AV153" i="4"/>
  <c r="BC67" i="4"/>
  <c r="AV67" i="4"/>
  <c r="BC28" i="4"/>
  <c r="AV28" i="4"/>
  <c r="AV149" i="4"/>
  <c r="BC149" i="4"/>
  <c r="BC52" i="4"/>
  <c r="AV52" i="4"/>
  <c r="AV43" i="4"/>
  <c r="BC43" i="4"/>
  <c r="AU156" i="4"/>
  <c r="AV220" i="4"/>
  <c r="AU16" i="4"/>
  <c r="AV74" i="4"/>
  <c r="AV204" i="4"/>
  <c r="BC224" i="4"/>
  <c r="AV224" i="4"/>
  <c r="AU223" i="4"/>
  <c r="BC37" i="4"/>
  <c r="AV37" i="4"/>
  <c r="AV57" i="4"/>
  <c r="I18" i="2"/>
  <c r="AL461" i="4"/>
  <c r="AU460" i="4" s="1"/>
  <c r="I460" i="4"/>
  <c r="AT305" i="4"/>
  <c r="BC329" i="4"/>
  <c r="AV329" i="4"/>
  <c r="I27" i="2"/>
  <c r="AX14" i="4"/>
  <c r="BC14" i="4" s="1"/>
  <c r="AX40" i="4"/>
  <c r="BC40" i="4" s="1"/>
  <c r="AL84" i="4"/>
  <c r="AU63" i="4" s="1"/>
  <c r="AV94" i="4"/>
  <c r="AW98" i="4"/>
  <c r="AX101" i="4"/>
  <c r="BC101" i="4" s="1"/>
  <c r="AV143" i="4"/>
  <c r="AW145" i="4"/>
  <c r="AX147" i="4"/>
  <c r="BC147" i="4" s="1"/>
  <c r="AX157" i="4"/>
  <c r="AW230" i="4"/>
  <c r="BC258" i="4"/>
  <c r="AV258" i="4"/>
  <c r="AX268" i="4"/>
  <c r="BC268" i="4" s="1"/>
  <c r="AT267" i="4"/>
  <c r="AW292" i="4"/>
  <c r="I305" i="4"/>
  <c r="AV429" i="4"/>
  <c r="AW461" i="4"/>
  <c r="BH461" i="4"/>
  <c r="AD461" i="4" s="1"/>
  <c r="BH469" i="4"/>
  <c r="AD469" i="4" s="1"/>
  <c r="AW469" i="4"/>
  <c r="BC491" i="4"/>
  <c r="AV491" i="4"/>
  <c r="BH598" i="4"/>
  <c r="AD598" i="4" s="1"/>
  <c r="AW598" i="4"/>
  <c r="AV680" i="4"/>
  <c r="BC1294" i="4"/>
  <c r="AV1294" i="4"/>
  <c r="AS27" i="4"/>
  <c r="BC346" i="4"/>
  <c r="AX412" i="4"/>
  <c r="BC420" i="4"/>
  <c r="AX475" i="4"/>
  <c r="AW508" i="4"/>
  <c r="BC580" i="4"/>
  <c r="AV580" i="4"/>
  <c r="AL589" i="4"/>
  <c r="AU573" i="4" s="1"/>
  <c r="I573" i="4"/>
  <c r="I39" i="4"/>
  <c r="AW84" i="4"/>
  <c r="AX86" i="4"/>
  <c r="AV86" i="4" s="1"/>
  <c r="AW136" i="4"/>
  <c r="AX139" i="4"/>
  <c r="AV139" i="4" s="1"/>
  <c r="I156" i="4"/>
  <c r="I1639" i="4" s="1"/>
  <c r="AW216" i="4"/>
  <c r="AW228" i="4"/>
  <c r="AX273" i="4"/>
  <c r="AV273" i="4" s="1"/>
  <c r="BC282" i="4"/>
  <c r="AV282" i="4"/>
  <c r="AX289" i="4"/>
  <c r="AV289" i="4" s="1"/>
  <c r="AT370" i="4"/>
  <c r="AT402" i="4"/>
  <c r="AX420" i="4"/>
  <c r="AV420" i="4" s="1"/>
  <c r="BI426" i="4"/>
  <c r="AE426" i="4" s="1"/>
  <c r="AX426" i="4"/>
  <c r="BC426" i="4" s="1"/>
  <c r="AX453" i="4"/>
  <c r="BC453" i="4" s="1"/>
  <c r="BI453" i="4"/>
  <c r="AE453" i="4" s="1"/>
  <c r="AW493" i="4"/>
  <c r="BH493" i="4"/>
  <c r="AD493" i="4" s="1"/>
  <c r="AX503" i="4"/>
  <c r="BC503" i="4" s="1"/>
  <c r="BI503" i="4"/>
  <c r="AE503" i="4" s="1"/>
  <c r="AX566" i="4"/>
  <c r="AV566" i="4" s="1"/>
  <c r="AT617" i="4"/>
  <c r="BI778" i="4"/>
  <c r="AE778" i="4" s="1"/>
  <c r="AX778" i="4"/>
  <c r="AX481" i="4"/>
  <c r="AV481" i="4" s="1"/>
  <c r="AW20" i="4"/>
  <c r="AW34" i="4"/>
  <c r="AW82" i="4"/>
  <c r="AX84" i="4"/>
  <c r="AW134" i="4"/>
  <c r="AX136" i="4"/>
  <c r="AW211" i="4"/>
  <c r="AX216" i="4"/>
  <c r="AX228" i="4"/>
  <c r="BC306" i="4"/>
  <c r="BI321" i="4"/>
  <c r="AC321" i="4" s="1"/>
  <c r="AX321" i="4"/>
  <c r="BC321" i="4" s="1"/>
  <c r="AX341" i="4"/>
  <c r="BC341" i="4" s="1"/>
  <c r="BI341" i="4"/>
  <c r="AC341" i="4" s="1"/>
  <c r="AW374" i="4"/>
  <c r="BH374" i="4"/>
  <c r="AB374" i="4" s="1"/>
  <c r="AW400" i="4"/>
  <c r="AV426" i="4"/>
  <c r="BI459" i="4"/>
  <c r="AX459" i="4"/>
  <c r="BC459" i="4" s="1"/>
  <c r="AX591" i="4"/>
  <c r="AV591" i="4" s="1"/>
  <c r="BI591" i="4"/>
  <c r="AE591" i="4" s="1"/>
  <c r="AL809" i="4"/>
  <c r="I791" i="4"/>
  <c r="BC1305" i="4"/>
  <c r="C28" i="1"/>
  <c r="F28" i="1" s="1"/>
  <c r="AX20" i="4"/>
  <c r="AW32" i="4"/>
  <c r="AX34" i="4"/>
  <c r="AW60" i="4"/>
  <c r="AW80" i="4"/>
  <c r="AX82" i="4"/>
  <c r="AW132" i="4"/>
  <c r="AX134" i="4"/>
  <c r="AW207" i="4"/>
  <c r="AX211" i="4"/>
  <c r="AW226" i="4"/>
  <c r="AW238" i="4"/>
  <c r="BI258" i="4"/>
  <c r="AC258" i="4" s="1"/>
  <c r="I267" i="4"/>
  <c r="AX306" i="4"/>
  <c r="BH381" i="4"/>
  <c r="AB381" i="4" s="1"/>
  <c r="AW381" i="4"/>
  <c r="BI406" i="4"/>
  <c r="AE406" i="4" s="1"/>
  <c r="C17" i="1" s="1"/>
  <c r="AX406" i="4"/>
  <c r="BC406" i="4" s="1"/>
  <c r="AV459" i="4"/>
  <c r="BC489" i="4"/>
  <c r="AV489" i="4"/>
  <c r="BC719" i="4"/>
  <c r="AV719" i="4"/>
  <c r="AV297" i="4"/>
  <c r="AS305" i="4"/>
  <c r="BC354" i="4"/>
  <c r="AV354" i="4"/>
  <c r="AV406" i="4"/>
  <c r="AX465" i="4"/>
  <c r="BI465" i="4"/>
  <c r="AE465" i="4" s="1"/>
  <c r="BI472" i="4"/>
  <c r="AE472" i="4" s="1"/>
  <c r="AX472" i="4"/>
  <c r="BI499" i="4"/>
  <c r="AE499" i="4" s="1"/>
  <c r="AX499" i="4"/>
  <c r="BH563" i="4"/>
  <c r="AD563" i="4" s="1"/>
  <c r="AW563" i="4"/>
  <c r="BH673" i="4"/>
  <c r="AD673" i="4" s="1"/>
  <c r="AW673" i="4"/>
  <c r="AV389" i="4"/>
  <c r="BC481" i="4"/>
  <c r="AS267" i="4"/>
  <c r="BC435" i="4"/>
  <c r="AV435" i="4"/>
  <c r="BC530" i="4"/>
  <c r="AV530" i="4"/>
  <c r="AV45" i="4"/>
  <c r="AV64" i="4"/>
  <c r="AV119" i="4"/>
  <c r="AV151" i="4"/>
  <c r="AV162" i="4"/>
  <c r="AX220" i="4"/>
  <c r="BC220" i="4" s="1"/>
  <c r="AV235" i="4"/>
  <c r="BC253" i="4"/>
  <c r="AW271" i="4"/>
  <c r="AX297" i="4"/>
  <c r="BC297" i="4" s="1"/>
  <c r="BH423" i="4"/>
  <c r="AD423" i="4" s="1"/>
  <c r="AW423" i="4"/>
  <c r="BC465" i="4"/>
  <c r="AV465" i="4"/>
  <c r="AW472" i="4"/>
  <c r="AW478" i="4"/>
  <c r="AW499" i="4"/>
  <c r="BH506" i="4"/>
  <c r="AD506" i="4" s="1"/>
  <c r="AW506" i="4"/>
  <c r="BC519" i="4"/>
  <c r="AV519" i="4"/>
  <c r="AX532" i="4"/>
  <c r="BI532" i="4"/>
  <c r="AE532" i="4" s="1"/>
  <c r="AT553" i="4"/>
  <c r="BI765" i="4"/>
  <c r="AE765" i="4" s="1"/>
  <c r="AX765" i="4"/>
  <c r="BC765" i="4" s="1"/>
  <c r="AW438" i="4"/>
  <c r="BH438" i="4"/>
  <c r="AD438" i="4" s="1"/>
  <c r="BH456" i="4"/>
  <c r="AD456" i="4" s="1"/>
  <c r="AW456" i="4"/>
  <c r="AX495" i="4"/>
  <c r="BI495" i="4"/>
  <c r="AE495" i="4" s="1"/>
  <c r="AX514" i="4"/>
  <c r="BC528" i="4"/>
  <c r="AV528" i="4"/>
  <c r="BC532" i="4"/>
  <c r="AW539" i="4"/>
  <c r="BH539" i="4"/>
  <c r="AD539" i="4" s="1"/>
  <c r="BC568" i="4"/>
  <c r="AV568" i="4"/>
  <c r="BH752" i="4"/>
  <c r="AD752" i="4" s="1"/>
  <c r="AW752" i="4"/>
  <c r="BI389" i="4"/>
  <c r="AC389" i="4" s="1"/>
  <c r="AX389" i="4"/>
  <c r="BC389" i="4" s="1"/>
  <c r="BH368" i="4"/>
  <c r="AB368" i="4" s="1"/>
  <c r="AW368" i="4"/>
  <c r="BC244" i="4"/>
  <c r="BH308" i="4"/>
  <c r="AB308" i="4" s="1"/>
  <c r="C14" i="1" s="1"/>
  <c r="AW308" i="4"/>
  <c r="AW338" i="4"/>
  <c r="BH338" i="4"/>
  <c r="AB338" i="4" s="1"/>
  <c r="AX365" i="4"/>
  <c r="BI365" i="4"/>
  <c r="AC365" i="4" s="1"/>
  <c r="AX235" i="4"/>
  <c r="BC365" i="4"/>
  <c r="AV365" i="4"/>
  <c r="I370" i="4"/>
  <c r="AL403" i="4"/>
  <c r="AU402" i="4" s="1"/>
  <c r="BC495" i="4"/>
  <c r="BH861" i="4"/>
  <c r="AB861" i="4" s="1"/>
  <c r="AW861" i="4"/>
  <c r="AU345" i="4"/>
  <c r="AW361" i="4"/>
  <c r="BH361" i="4"/>
  <c r="AB361" i="4" s="1"/>
  <c r="AX377" i="4"/>
  <c r="BI377" i="4"/>
  <c r="AC377" i="4" s="1"/>
  <c r="BH497" i="4"/>
  <c r="AD497" i="4" s="1"/>
  <c r="AW497" i="4"/>
  <c r="BC275" i="4"/>
  <c r="BC377" i="4"/>
  <c r="AV377" i="4"/>
  <c r="AL501" i="4"/>
  <c r="AU500" i="4" s="1"/>
  <c r="I500" i="4"/>
  <c r="BI508" i="4"/>
  <c r="AE508" i="4" s="1"/>
  <c r="AX508" i="4"/>
  <c r="BI226" i="4"/>
  <c r="AC226" i="4" s="1"/>
  <c r="C15" i="1" s="1"/>
  <c r="BC326" i="4"/>
  <c r="I345" i="4"/>
  <c r="BC371" i="4"/>
  <c r="AV371" i="4"/>
  <c r="BH403" i="4"/>
  <c r="AD403" i="4" s="1"/>
  <c r="C16" i="1" s="1"/>
  <c r="AW403" i="4"/>
  <c r="AW501" i="4"/>
  <c r="BH501" i="4"/>
  <c r="AD501" i="4" s="1"/>
  <c r="AU617" i="4"/>
  <c r="BC618" i="4"/>
  <c r="AV618" i="4"/>
  <c r="BC487" i="4"/>
  <c r="AW521" i="4"/>
  <c r="AX524" i="4"/>
  <c r="BC524" i="4" s="1"/>
  <c r="BC526" i="4"/>
  <c r="AX550" i="4"/>
  <c r="AV550" i="4" s="1"/>
  <c r="AW554" i="4"/>
  <c r="AX574" i="4"/>
  <c r="BI589" i="4"/>
  <c r="AE589" i="4" s="1"/>
  <c r="AX589" i="4"/>
  <c r="AV589" i="4" s="1"/>
  <c r="BC655" i="4"/>
  <c r="AT670" i="4"/>
  <c r="BI680" i="4"/>
  <c r="AE680" i="4" s="1"/>
  <c r="AX680" i="4"/>
  <c r="BC680" i="4" s="1"/>
  <c r="BC698" i="4"/>
  <c r="BH713" i="4"/>
  <c r="AD713" i="4" s="1"/>
  <c r="AW713" i="4"/>
  <c r="AS735" i="4"/>
  <c r="BI775" i="4"/>
  <c r="AE775" i="4" s="1"/>
  <c r="AX775" i="4"/>
  <c r="BC775" i="4" s="1"/>
  <c r="AW804" i="4"/>
  <c r="BH804" i="4"/>
  <c r="AD804" i="4" s="1"/>
  <c r="BH816" i="4"/>
  <c r="AD816" i="4" s="1"/>
  <c r="AW816" i="4"/>
  <c r="AV840" i="4"/>
  <c r="BC840" i="4"/>
  <c r="BC979" i="4"/>
  <c r="AV979" i="4"/>
  <c r="BC990" i="4"/>
  <c r="AV990" i="4"/>
  <c r="I1044" i="4"/>
  <c r="AL1045" i="4"/>
  <c r="AU1044" i="4" s="1"/>
  <c r="AW586" i="4"/>
  <c r="BH586" i="4"/>
  <c r="AD586" i="4" s="1"/>
  <c r="BC594" i="4"/>
  <c r="BC661" i="4"/>
  <c r="AV661" i="4"/>
  <c r="BH669" i="4"/>
  <c r="AW669" i="4"/>
  <c r="BC704" i="4"/>
  <c r="AV704" i="4"/>
  <c r="AU735" i="4"/>
  <c r="AV812" i="4"/>
  <c r="I860" i="4"/>
  <c r="AL861" i="4"/>
  <c r="AU860" i="4" s="1"/>
  <c r="AW393" i="4"/>
  <c r="AX400" i="4"/>
  <c r="AW412" i="4"/>
  <c r="AX416" i="4"/>
  <c r="BC416" i="4" s="1"/>
  <c r="AW475" i="4"/>
  <c r="AX478" i="4"/>
  <c r="AW514" i="4"/>
  <c r="AX516" i="4"/>
  <c r="AV516" i="4" s="1"/>
  <c r="BI603" i="4"/>
  <c r="AE603" i="4" s="1"/>
  <c r="AX603" i="4"/>
  <c r="AW626" i="4"/>
  <c r="BH626" i="4"/>
  <c r="AD626" i="4" s="1"/>
  <c r="BI812" i="4"/>
  <c r="AE812" i="4" s="1"/>
  <c r="AX812" i="4"/>
  <c r="BC812" i="4" s="1"/>
  <c r="AV818" i="4"/>
  <c r="BC818" i="4"/>
  <c r="BC854" i="4"/>
  <c r="BH945" i="4"/>
  <c r="AB945" i="4" s="1"/>
  <c r="AW945" i="4"/>
  <c r="BH1040" i="4"/>
  <c r="AW1040" i="4"/>
  <c r="AS791" i="4"/>
  <c r="AV829" i="4"/>
  <c r="BI854" i="4"/>
  <c r="AC854" i="4" s="1"/>
  <c r="AX854" i="4"/>
  <c r="AV854" i="4" s="1"/>
  <c r="BC977" i="4"/>
  <c r="AV977" i="4"/>
  <c r="AV495" i="4"/>
  <c r="AV532" i="4"/>
  <c r="AT573" i="4"/>
  <c r="I617" i="4"/>
  <c r="AW636" i="4"/>
  <c r="AV653" i="4"/>
  <c r="BC653" i="4"/>
  <c r="BI675" i="4"/>
  <c r="AE675" i="4" s="1"/>
  <c r="AX675" i="4"/>
  <c r="BC675" i="4" s="1"/>
  <c r="AV695" i="4"/>
  <c r="BC695" i="4"/>
  <c r="BI716" i="4"/>
  <c r="AE716" i="4" s="1"/>
  <c r="AX716" i="4"/>
  <c r="BC716" i="4" s="1"/>
  <c r="AW722" i="4"/>
  <c r="BC732" i="4"/>
  <c r="AV739" i="4"/>
  <c r="BC739" i="4"/>
  <c r="AV913" i="4"/>
  <c r="BC913" i="4"/>
  <c r="BC955" i="4"/>
  <c r="BC591" i="4"/>
  <c r="BH616" i="4"/>
  <c r="AW616" i="4"/>
  <c r="BH664" i="4"/>
  <c r="AD664" i="4" s="1"/>
  <c r="AW664" i="4"/>
  <c r="BH707" i="4"/>
  <c r="AD707" i="4" s="1"/>
  <c r="AW707" i="4"/>
  <c r="AV716" i="4"/>
  <c r="AL765" i="4"/>
  <c r="I735" i="4"/>
  <c r="BI825" i="4"/>
  <c r="AE825" i="4" s="1"/>
  <c r="AX825" i="4"/>
  <c r="BC544" i="4"/>
  <c r="AV584" i="4"/>
  <c r="BC609" i="4"/>
  <c r="AV609" i="4"/>
  <c r="AX616" i="4"/>
  <c r="BI616" i="4"/>
  <c r="BH629" i="4"/>
  <c r="AD629" i="4" s="1"/>
  <c r="AW629" i="4"/>
  <c r="BH677" i="4"/>
  <c r="AD677" i="4" s="1"/>
  <c r="AW677" i="4"/>
  <c r="AU772" i="4"/>
  <c r="BC788" i="4"/>
  <c r="BC796" i="4"/>
  <c r="BC858" i="4"/>
  <c r="AV858" i="4"/>
  <c r="BC939" i="4"/>
  <c r="AL554" i="4"/>
  <c r="AU553" i="4" s="1"/>
  <c r="AW560" i="4"/>
  <c r="BH587" i="4"/>
  <c r="AD587" i="4" s="1"/>
  <c r="AW587" i="4"/>
  <c r="AX629" i="4"/>
  <c r="BI629" i="4"/>
  <c r="AE629" i="4" s="1"/>
  <c r="AW801" i="4"/>
  <c r="BI820" i="4"/>
  <c r="AE820" i="4" s="1"/>
  <c r="AX820" i="4"/>
  <c r="BC820" i="4" s="1"/>
  <c r="BC1022" i="4"/>
  <c r="AV1022" i="4"/>
  <c r="BI1087" i="4"/>
  <c r="AE1087" i="4" s="1"/>
  <c r="AX1087" i="4"/>
  <c r="AV1087" i="4" s="1"/>
  <c r="BC1092" i="4"/>
  <c r="AV1092" i="4"/>
  <c r="AX587" i="4"/>
  <c r="BI587" i="4"/>
  <c r="AE587" i="4" s="1"/>
  <c r="BC667" i="4"/>
  <c r="AV667" i="4"/>
  <c r="BC671" i="4"/>
  <c r="AV671" i="4"/>
  <c r="AV710" i="4"/>
  <c r="AT735" i="4"/>
  <c r="AU819" i="4"/>
  <c r="BC868" i="4"/>
  <c r="BC953" i="4"/>
  <c r="AV953" i="4"/>
  <c r="BC1087" i="4"/>
  <c r="AV546" i="4"/>
  <c r="BH601" i="4"/>
  <c r="AD601" i="4" s="1"/>
  <c r="AW601" i="4"/>
  <c r="BC638" i="4"/>
  <c r="BI667" i="4"/>
  <c r="AE667" i="4" s="1"/>
  <c r="AX667" i="4"/>
  <c r="BI710" i="4"/>
  <c r="AE710" i="4" s="1"/>
  <c r="AX710" i="4"/>
  <c r="BC710" i="4" s="1"/>
  <c r="AV730" i="4"/>
  <c r="BC730" i="4"/>
  <c r="BH748" i="4"/>
  <c r="AD748" i="4" s="1"/>
  <c r="AW748" i="4"/>
  <c r="BH809" i="4"/>
  <c r="AD809" i="4" s="1"/>
  <c r="AW809" i="4"/>
  <c r="I832" i="4"/>
  <c r="I850" i="4"/>
  <c r="AW925" i="4"/>
  <c r="BH925" i="4"/>
  <c r="AB925" i="4" s="1"/>
  <c r="I1018" i="4"/>
  <c r="AL1019" i="4"/>
  <c r="AU1018" i="4" s="1"/>
  <c r="BI1019" i="4"/>
  <c r="AX1019" i="4"/>
  <c r="BH1064" i="4"/>
  <c r="AW1064" i="4"/>
  <c r="AX557" i="4"/>
  <c r="AV569" i="4"/>
  <c r="BC589" i="4"/>
  <c r="AV606" i="4"/>
  <c r="AW614" i="4"/>
  <c r="BH614" i="4"/>
  <c r="AD614" i="4" s="1"/>
  <c r="BI632" i="4"/>
  <c r="AE632" i="4" s="1"/>
  <c r="AX632" i="4"/>
  <c r="AV632" i="4" s="1"/>
  <c r="AX638" i="4"/>
  <c r="AV638" i="4" s="1"/>
  <c r="I670" i="4"/>
  <c r="AX725" i="4"/>
  <c r="BC792" i="4"/>
  <c r="AV792" i="4"/>
  <c r="AW827" i="4"/>
  <c r="BC856" i="4"/>
  <c r="AW646" i="4"/>
  <c r="AX649" i="4"/>
  <c r="BH661" i="4"/>
  <c r="AD661" i="4" s="1"/>
  <c r="BI664" i="4"/>
  <c r="AE664" i="4" s="1"/>
  <c r="BH671" i="4"/>
  <c r="AD671" i="4" s="1"/>
  <c r="BI673" i="4"/>
  <c r="AE673" i="4" s="1"/>
  <c r="AW689" i="4"/>
  <c r="AX692" i="4"/>
  <c r="BH704" i="4"/>
  <c r="AD704" i="4" s="1"/>
  <c r="BI707" i="4"/>
  <c r="AE707" i="4" s="1"/>
  <c r="AW725" i="4"/>
  <c r="AX728" i="4"/>
  <c r="AX736" i="4"/>
  <c r="AX768" i="4"/>
  <c r="AW778" i="4"/>
  <c r="AX782" i="4"/>
  <c r="BH792" i="4"/>
  <c r="AD792" i="4" s="1"/>
  <c r="BI796" i="4"/>
  <c r="AE796" i="4" s="1"/>
  <c r="AS850" i="4"/>
  <c r="BC928" i="4"/>
  <c r="AX950" i="4"/>
  <c r="BC950" i="4" s="1"/>
  <c r="BH953" i="4"/>
  <c r="AB953" i="4" s="1"/>
  <c r="BI955" i="4"/>
  <c r="AC955" i="4" s="1"/>
  <c r="AU987" i="4"/>
  <c r="BH1045" i="4"/>
  <c r="AW1045" i="4"/>
  <c r="BC1053" i="4"/>
  <c r="AV1053" i="4"/>
  <c r="AX1084" i="4"/>
  <c r="AV1084" i="4" s="1"/>
  <c r="BI1084" i="4"/>
  <c r="AE1084" i="4" s="1"/>
  <c r="BI1098" i="4"/>
  <c r="AE1098" i="4" s="1"/>
  <c r="AX1098" i="4"/>
  <c r="AV1098" i="4" s="1"/>
  <c r="BC1138" i="4"/>
  <c r="AU1169" i="4"/>
  <c r="BC817" i="4"/>
  <c r="BC876" i="4"/>
  <c r="BI945" i="4"/>
  <c r="AC945" i="4" s="1"/>
  <c r="AX945" i="4"/>
  <c r="AW969" i="4"/>
  <c r="BC1009" i="4"/>
  <c r="BH1019" i="4"/>
  <c r="AW1019" i="4"/>
  <c r="BC1038" i="4"/>
  <c r="AV1038" i="4"/>
  <c r="AL1084" i="4"/>
  <c r="AU1080" i="4" s="1"/>
  <c r="I1080" i="4"/>
  <c r="I1079" i="4" s="1"/>
  <c r="L13" i="3" s="1"/>
  <c r="P13" i="3" s="1"/>
  <c r="BC937" i="4"/>
  <c r="AV937" i="4"/>
  <c r="AS1018" i="4"/>
  <c r="BH1047" i="4"/>
  <c r="AW1047" i="4"/>
  <c r="I772" i="4"/>
  <c r="AU791" i="4"/>
  <c r="AV796" i="4"/>
  <c r="I819" i="4"/>
  <c r="AW825" i="4"/>
  <c r="I839" i="4"/>
  <c r="AV842" i="4"/>
  <c r="AX861" i="4"/>
  <c r="BH942" i="4"/>
  <c r="AB942" i="4" s="1"/>
  <c r="AW942" i="4"/>
  <c r="AV955" i="4"/>
  <c r="BC981" i="4"/>
  <c r="AV981" i="4"/>
  <c r="BC1007" i="4"/>
  <c r="AV1007" i="4"/>
  <c r="AT1018" i="4"/>
  <c r="AV1032" i="4"/>
  <c r="BC1032" i="4"/>
  <c r="BH1041" i="4"/>
  <c r="AW1041" i="4"/>
  <c r="AV1043" i="4"/>
  <c r="BI1047" i="4"/>
  <c r="AX1047" i="4"/>
  <c r="AV1081" i="4"/>
  <c r="BC1081" i="4"/>
  <c r="BH1124" i="4"/>
  <c r="AD1124" i="4" s="1"/>
  <c r="AW1124" i="4"/>
  <c r="BI1175" i="4"/>
  <c r="AE1175" i="4" s="1"/>
  <c r="AX1175" i="4"/>
  <c r="AV1175" i="4" s="1"/>
  <c r="AV745" i="4"/>
  <c r="BH1002" i="4"/>
  <c r="AB1002" i="4" s="1"/>
  <c r="AW1002" i="4"/>
  <c r="BI1041" i="4"/>
  <c r="AX1041" i="4"/>
  <c r="AW762" i="4"/>
  <c r="AW773" i="4"/>
  <c r="AV789" i="4"/>
  <c r="BH829" i="4"/>
  <c r="AD829" i="4" s="1"/>
  <c r="AV972" i="4"/>
  <c r="BC998" i="4"/>
  <c r="AV998" i="4"/>
  <c r="AV1012" i="4"/>
  <c r="BC1012" i="4"/>
  <c r="BI1020" i="4"/>
  <c r="AX1020" i="4"/>
  <c r="AV1020" i="4" s="1"/>
  <c r="BH1066" i="4"/>
  <c r="AW1066" i="4"/>
  <c r="BI1091" i="4"/>
  <c r="AE1091" i="4" s="1"/>
  <c r="AX1091" i="4"/>
  <c r="BC1091" i="4" s="1"/>
  <c r="BH1102" i="4"/>
  <c r="AD1102" i="4" s="1"/>
  <c r="AW1102" i="4"/>
  <c r="BC1165" i="4"/>
  <c r="AV1165" i="4"/>
  <c r="AV655" i="4"/>
  <c r="AV698" i="4"/>
  <c r="AV732" i="4"/>
  <c r="AV759" i="4"/>
  <c r="AV788" i="4"/>
  <c r="I828" i="4"/>
  <c r="BI833" i="4"/>
  <c r="AE833" i="4" s="1"/>
  <c r="AS860" i="4"/>
  <c r="AV934" i="4"/>
  <c r="AV988" i="4"/>
  <c r="BC1016" i="4"/>
  <c r="AV1016" i="4"/>
  <c r="AV1059" i="4"/>
  <c r="BC1059" i="4"/>
  <c r="BI1066" i="4"/>
  <c r="AX1066" i="4"/>
  <c r="BC1099" i="4"/>
  <c r="AV1099" i="4"/>
  <c r="BI1102" i="4"/>
  <c r="AE1102" i="4" s="1"/>
  <c r="AX1102" i="4"/>
  <c r="AX1109" i="4"/>
  <c r="BC1109" i="4" s="1"/>
  <c r="BI1109" i="4"/>
  <c r="AE1109" i="4" s="1"/>
  <c r="BC1120" i="4"/>
  <c r="AV1120" i="4"/>
  <c r="AV1160" i="4"/>
  <c r="BC1160" i="4"/>
  <c r="AT860" i="4"/>
  <c r="AV939" i="4"/>
  <c r="BH1004" i="4"/>
  <c r="AB1004" i="4" s="1"/>
  <c r="AW1004" i="4"/>
  <c r="BI1049" i="4"/>
  <c r="AX1049" i="4"/>
  <c r="AV1049" i="4" s="1"/>
  <c r="AV1076" i="4"/>
  <c r="BH1086" i="4"/>
  <c r="AD1086" i="4" s="1"/>
  <c r="AW1086" i="4"/>
  <c r="BC1088" i="4"/>
  <c r="AV1088" i="4"/>
  <c r="AS1080" i="4"/>
  <c r="BI1143" i="4"/>
  <c r="AX1143" i="4"/>
  <c r="AV1143" i="4" s="1"/>
  <c r="BC1152" i="4"/>
  <c r="AV1152" i="4"/>
  <c r="AS987" i="4"/>
  <c r="BC1025" i="4"/>
  <c r="AV1025" i="4"/>
  <c r="BI1042" i="4"/>
  <c r="AX1042" i="4"/>
  <c r="AV1042" i="4" s="1"/>
  <c r="AT1080" i="4"/>
  <c r="AW1107" i="4"/>
  <c r="BH1107" i="4"/>
  <c r="AD1107" i="4" s="1"/>
  <c r="AV1116" i="4"/>
  <c r="BC1116" i="4"/>
  <c r="BH745" i="4"/>
  <c r="AD745" i="4" s="1"/>
  <c r="BC836" i="4"/>
  <c r="BI942" i="4"/>
  <c r="AC942" i="4" s="1"/>
  <c r="AV985" i="4"/>
  <c r="AT987" i="4"/>
  <c r="BH985" i="4"/>
  <c r="AB985" i="4" s="1"/>
  <c r="BH1000" i="4"/>
  <c r="AB1000" i="4" s="1"/>
  <c r="BI1002" i="4"/>
  <c r="AC1002" i="4" s="1"/>
  <c r="AX1009" i="4"/>
  <c r="AV1009" i="4" s="1"/>
  <c r="AW1028" i="4"/>
  <c r="AX1030" i="4"/>
  <c r="BC1030" i="4" s="1"/>
  <c r="BH1038" i="4"/>
  <c r="BI1039" i="4"/>
  <c r="AW1055" i="4"/>
  <c r="AX1057" i="4"/>
  <c r="BC1057" i="4" s="1"/>
  <c r="I1069" i="4"/>
  <c r="I1068" i="4" s="1"/>
  <c r="AX1076" i="4"/>
  <c r="BC1076" i="4" s="1"/>
  <c r="AV1093" i="4"/>
  <c r="AX1100" i="4"/>
  <c r="AW1110" i="4"/>
  <c r="BI1113" i="4"/>
  <c r="AE1113" i="4" s="1"/>
  <c r="AX1113" i="4"/>
  <c r="AV1113" i="4" s="1"/>
  <c r="AV1117" i="4"/>
  <c r="AX1119" i="4"/>
  <c r="AV1119" i="4" s="1"/>
  <c r="BI1119" i="4"/>
  <c r="AE1119" i="4" s="1"/>
  <c r="BC1128" i="4"/>
  <c r="AV1128" i="4"/>
  <c r="BI1138" i="4"/>
  <c r="AE1138" i="4" s="1"/>
  <c r="AX1138" i="4"/>
  <c r="AV1138" i="4" s="1"/>
  <c r="AU1145" i="4"/>
  <c r="AU1156" i="4"/>
  <c r="BC1159" i="4"/>
  <c r="BH1193" i="4"/>
  <c r="AB1193" i="4" s="1"/>
  <c r="AW1193" i="4"/>
  <c r="AV1091" i="4"/>
  <c r="BC1098" i="4"/>
  <c r="BC1122" i="4"/>
  <c r="AV1122" i="4"/>
  <c r="AV1127" i="4"/>
  <c r="AW1130" i="4"/>
  <c r="BH1130" i="4"/>
  <c r="AD1130" i="4" s="1"/>
  <c r="BC1143" i="4"/>
  <c r="BC1277" i="4"/>
  <c r="AV1095" i="4"/>
  <c r="BH1112" i="4"/>
  <c r="AD1112" i="4" s="1"/>
  <c r="AW1112" i="4"/>
  <c r="BH1125" i="4"/>
  <c r="AD1125" i="4" s="1"/>
  <c r="AW1125" i="4"/>
  <c r="BH1148" i="4"/>
  <c r="AD1148" i="4" s="1"/>
  <c r="AW1148" i="4"/>
  <c r="AV1266" i="4"/>
  <c r="BC1266" i="4"/>
  <c r="BI1125" i="4"/>
  <c r="AE1125" i="4" s="1"/>
  <c r="AX1125" i="4"/>
  <c r="BC1140" i="4"/>
  <c r="AV1140" i="4"/>
  <c r="BC1161" i="4"/>
  <c r="AV1161" i="4"/>
  <c r="AV1185" i="4"/>
  <c r="AX1004" i="4"/>
  <c r="AW1039" i="4"/>
  <c r="AX1040" i="4"/>
  <c r="AX1045" i="4"/>
  <c r="AX1064" i="4"/>
  <c r="AV1070" i="4"/>
  <c r="AX1086" i="4"/>
  <c r="AW1090" i="4"/>
  <c r="BC1095" i="4"/>
  <c r="AV1106" i="4"/>
  <c r="AW1118" i="4"/>
  <c r="BH1118" i="4"/>
  <c r="AD1118" i="4" s="1"/>
  <c r="BH1149" i="4"/>
  <c r="AD1149" i="4" s="1"/>
  <c r="AW1149" i="4"/>
  <c r="BC1157" i="4"/>
  <c r="AV1157" i="4"/>
  <c r="AU1188" i="4"/>
  <c r="BC1189" i="4"/>
  <c r="AV1189" i="4"/>
  <c r="BI1226" i="4"/>
  <c r="AC1226" i="4" s="1"/>
  <c r="AX1226" i="4"/>
  <c r="BC1239" i="4"/>
  <c r="AV1239" i="4"/>
  <c r="BC1244" i="4"/>
  <c r="AV1244" i="4"/>
  <c r="AV1037" i="4"/>
  <c r="AW1063" i="4"/>
  <c r="AV1073" i="4"/>
  <c r="AX1090" i="4"/>
  <c r="AW1097" i="4"/>
  <c r="BC1108" i="4"/>
  <c r="AX1112" i="4"/>
  <c r="BI1126" i="4"/>
  <c r="AE1126" i="4" s="1"/>
  <c r="AX1126" i="4"/>
  <c r="AV1126" i="4" s="1"/>
  <c r="BC1133" i="4"/>
  <c r="BH1136" i="4"/>
  <c r="AD1136" i="4" s="1"/>
  <c r="AW1136" i="4"/>
  <c r="BI1149" i="4"/>
  <c r="AE1149" i="4" s="1"/>
  <c r="AX1149" i="4"/>
  <c r="BH1164" i="4"/>
  <c r="AD1164" i="4" s="1"/>
  <c r="AW1164" i="4"/>
  <c r="BC1195" i="4"/>
  <c r="AV1195" i="4"/>
  <c r="BC1226" i="4"/>
  <c r="AV1226" i="4"/>
  <c r="AV1034" i="4"/>
  <c r="AV1061" i="4"/>
  <c r="AV1085" i="4"/>
  <c r="AW1101" i="4"/>
  <c r="BC1114" i="4"/>
  <c r="AV1131" i="4"/>
  <c r="AV1139" i="4"/>
  <c r="BC1146" i="4"/>
  <c r="AV1146" i="4"/>
  <c r="BI1164" i="4"/>
  <c r="AE1164" i="4" s="1"/>
  <c r="AX1164" i="4"/>
  <c r="BH1174" i="4"/>
  <c r="AD1174" i="4" s="1"/>
  <c r="AW1174" i="4"/>
  <c r="BI1183" i="4"/>
  <c r="AE1183" i="4" s="1"/>
  <c r="AX1183" i="4"/>
  <c r="AV1111" i="4"/>
  <c r="BC1126" i="4"/>
  <c r="AX1131" i="4"/>
  <c r="BC1131" i="4" s="1"/>
  <c r="BI1131" i="4"/>
  <c r="AE1131" i="4" s="1"/>
  <c r="BH1137" i="4"/>
  <c r="AD1137" i="4" s="1"/>
  <c r="AW1137" i="4"/>
  <c r="BI1150" i="4"/>
  <c r="AE1150" i="4" s="1"/>
  <c r="AX1150" i="4"/>
  <c r="AV1150" i="4" s="1"/>
  <c r="BH1170" i="4"/>
  <c r="AD1170" i="4" s="1"/>
  <c r="AW1170" i="4"/>
  <c r="AV1082" i="4"/>
  <c r="AW1089" i="4"/>
  <c r="BI1095" i="4"/>
  <c r="AE1095" i="4" s="1"/>
  <c r="BC1121" i="4"/>
  <c r="AV1121" i="4"/>
  <c r="BI1137" i="4"/>
  <c r="AE1137" i="4" s="1"/>
  <c r="AX1137" i="4"/>
  <c r="I1145" i="4"/>
  <c r="AV1155" i="4"/>
  <c r="BC1155" i="4"/>
  <c r="AV1216" i="4"/>
  <c r="BC1216" i="4"/>
  <c r="BH1070" i="4"/>
  <c r="BH1083" i="4"/>
  <c r="AD1083" i="4" s="1"/>
  <c r="AX1089" i="4"/>
  <c r="BC1094" i="4"/>
  <c r="BI1097" i="4"/>
  <c r="AE1097" i="4" s="1"/>
  <c r="AW1100" i="4"/>
  <c r="BC1111" i="4"/>
  <c r="BC1119" i="4"/>
  <c r="BC1132" i="4"/>
  <c r="BC1134" i="4"/>
  <c r="AV1134" i="4"/>
  <c r="BC1150" i="4"/>
  <c r="AV1153" i="4"/>
  <c r="BC1186" i="4"/>
  <c r="AV1186" i="4"/>
  <c r="BC1197" i="4"/>
  <c r="AV1197" i="4"/>
  <c r="BH1122" i="4"/>
  <c r="AD1122" i="4" s="1"/>
  <c r="BH1134" i="4"/>
  <c r="AD1134" i="4" s="1"/>
  <c r="BI1135" i="4"/>
  <c r="AE1135" i="4" s="1"/>
  <c r="BH1146" i="4"/>
  <c r="AD1146" i="4" s="1"/>
  <c r="BI1147" i="4"/>
  <c r="AE1147" i="4" s="1"/>
  <c r="BH1183" i="4"/>
  <c r="AD1183" i="4" s="1"/>
  <c r="AW1183" i="4"/>
  <c r="BI1248" i="4"/>
  <c r="AG1248" i="4" s="1"/>
  <c r="C19" i="1" s="1"/>
  <c r="AX1248" i="4"/>
  <c r="BI1258" i="4"/>
  <c r="AG1258" i="4" s="1"/>
  <c r="AX1258" i="4"/>
  <c r="BC1258" i="4" s="1"/>
  <c r="BC1289" i="4"/>
  <c r="AV1289" i="4"/>
  <c r="AU1302" i="4"/>
  <c r="BI1320" i="4"/>
  <c r="AC1320" i="4" s="1"/>
  <c r="AX1320" i="4"/>
  <c r="BC1320" i="4" s="1"/>
  <c r="BC1178" i="4"/>
  <c r="AV1178" i="4"/>
  <c r="AS1188" i="4"/>
  <c r="BI1193" i="4"/>
  <c r="AC1193" i="4" s="1"/>
  <c r="AX1193" i="4"/>
  <c r="AV1212" i="4"/>
  <c r="BC1222" i="4"/>
  <c r="AV1222" i="4"/>
  <c r="AV1262" i="4"/>
  <c r="BC1262" i="4"/>
  <c r="BH1309" i="4"/>
  <c r="AB1309" i="4" s="1"/>
  <c r="AW1309" i="4"/>
  <c r="BH1154" i="4"/>
  <c r="AD1154" i="4" s="1"/>
  <c r="BI1155" i="4"/>
  <c r="AE1155" i="4" s="1"/>
  <c r="BH1159" i="4"/>
  <c r="AD1159" i="4" s="1"/>
  <c r="BI1160" i="4"/>
  <c r="AE1160" i="4" s="1"/>
  <c r="BC1205" i="4"/>
  <c r="AV1205" i="4"/>
  <c r="BC1212" i="4"/>
  <c r="BI1222" i="4"/>
  <c r="AC1222" i="4" s="1"/>
  <c r="AX1222" i="4"/>
  <c r="BI1283" i="4"/>
  <c r="AG1283" i="4" s="1"/>
  <c r="AX1283" i="4"/>
  <c r="AV1180" i="4"/>
  <c r="BC1185" i="4"/>
  <c r="BH1256" i="4"/>
  <c r="AF1256" i="4" s="1"/>
  <c r="AW1256" i="4"/>
  <c r="AV1283" i="4"/>
  <c r="BC1303" i="4"/>
  <c r="AV1303" i="4"/>
  <c r="BC1313" i="4"/>
  <c r="AV1313" i="4"/>
  <c r="BC1315" i="4"/>
  <c r="AV1315" i="4"/>
  <c r="AW1123" i="4"/>
  <c r="AX1124" i="4"/>
  <c r="AW1135" i="4"/>
  <c r="AX1136" i="4"/>
  <c r="AW1147" i="4"/>
  <c r="AX1148" i="4"/>
  <c r="I1156" i="4"/>
  <c r="AW1163" i="4"/>
  <c r="AV1167" i="4"/>
  <c r="AX1168" i="4"/>
  <c r="AX1170" i="4"/>
  <c r="BC1182" i="4"/>
  <c r="AV1182" i="4"/>
  <c r="AX1185" i="4"/>
  <c r="BH1191" i="4"/>
  <c r="AB1191" i="4" s="1"/>
  <c r="AW1191" i="4"/>
  <c r="AV1199" i="4"/>
  <c r="AU1209" i="4"/>
  <c r="BI1232" i="4"/>
  <c r="AC1232" i="4" s="1"/>
  <c r="AX1232" i="4"/>
  <c r="BC1232" i="4" s="1"/>
  <c r="BC1272" i="4"/>
  <c r="AV1133" i="4"/>
  <c r="AV1162" i="4"/>
  <c r="BC1218" i="4"/>
  <c r="AV1218" i="4"/>
  <c r="BH1224" i="4"/>
  <c r="AB1224" i="4" s="1"/>
  <c r="AW1224" i="4"/>
  <c r="BC1228" i="4"/>
  <c r="AV1232" i="4"/>
  <c r="AV1242" i="4"/>
  <c r="BH1246" i="4"/>
  <c r="AF1246" i="4" s="1"/>
  <c r="C18" i="1" s="1"/>
  <c r="AW1246" i="4"/>
  <c r="AV1260" i="4"/>
  <c r="AV1287" i="4"/>
  <c r="BC1287" i="4"/>
  <c r="BH1178" i="4"/>
  <c r="AD1178" i="4" s="1"/>
  <c r="BI1184" i="4"/>
  <c r="AE1184" i="4" s="1"/>
  <c r="AX1184" i="4"/>
  <c r="BC1214" i="4"/>
  <c r="AV1214" i="4"/>
  <c r="AV1236" i="4"/>
  <c r="BC1236" i="4"/>
  <c r="BC1264" i="4"/>
  <c r="AV1264" i="4"/>
  <c r="BI1310" i="4"/>
  <c r="AC1310" i="4" s="1"/>
  <c r="AX1310" i="4"/>
  <c r="AX1173" i="4"/>
  <c r="BC1173" i="4" s="1"/>
  <c r="AV1177" i="4"/>
  <c r="AV1179" i="4"/>
  <c r="BI1180" i="4"/>
  <c r="AE1180" i="4" s="1"/>
  <c r="I1188" i="4"/>
  <c r="BC1242" i="4"/>
  <c r="BC1268" i="4"/>
  <c r="AV1268" i="4"/>
  <c r="BH1281" i="4"/>
  <c r="AF1281" i="4" s="1"/>
  <c r="AW1281" i="4"/>
  <c r="AV1310" i="4"/>
  <c r="AW1166" i="4"/>
  <c r="BC1177" i="4"/>
  <c r="AW1184" i="4"/>
  <c r="I1209" i="4"/>
  <c r="BC1298" i="4"/>
  <c r="AV1298" i="4"/>
  <c r="AV1347" i="4"/>
  <c r="AW1172" i="4"/>
  <c r="BC1179" i="4"/>
  <c r="AV1181" i="4"/>
  <c r="AV1203" i="4"/>
  <c r="BC1207" i="4"/>
  <c r="AT1209" i="4"/>
  <c r="BH1220" i="4"/>
  <c r="AB1220" i="4" s="1"/>
  <c r="AW1220" i="4"/>
  <c r="BH1230" i="4"/>
  <c r="AB1230" i="4" s="1"/>
  <c r="AW1230" i="4"/>
  <c r="BC1248" i="4"/>
  <c r="AV1248" i="4"/>
  <c r="AV1285" i="4"/>
  <c r="AV1312" i="4"/>
  <c r="BC1312" i="4"/>
  <c r="AV1314" i="4"/>
  <c r="AV1320" i="4"/>
  <c r="I1302" i="4"/>
  <c r="BC1328" i="4"/>
  <c r="BC1348" i="4"/>
  <c r="AV1363" i="4"/>
  <c r="AV1367" i="4"/>
  <c r="BC1367" i="4"/>
  <c r="AW1402" i="4"/>
  <c r="BH1402" i="4"/>
  <c r="AD1402" i="4" s="1"/>
  <c r="AW1413" i="4"/>
  <c r="BH1454" i="4"/>
  <c r="AD1454" i="4" s="1"/>
  <c r="AW1454" i="4"/>
  <c r="AW1518" i="4"/>
  <c r="BH1518" i="4"/>
  <c r="AD1518" i="4" s="1"/>
  <c r="AW1323" i="4"/>
  <c r="BC1333" i="4"/>
  <c r="AV1333" i="4"/>
  <c r="BI1339" i="4"/>
  <c r="AC1339" i="4" s="1"/>
  <c r="AX1339" i="4"/>
  <c r="AV1339" i="4" s="1"/>
  <c r="BC1372" i="4"/>
  <c r="AV1372" i="4"/>
  <c r="BI1402" i="4"/>
  <c r="AE1402" i="4" s="1"/>
  <c r="AX1402" i="4"/>
  <c r="AX1466" i="4"/>
  <c r="BI1466" i="4"/>
  <c r="AE1466" i="4" s="1"/>
  <c r="AW1491" i="4"/>
  <c r="BH1491" i="4"/>
  <c r="AD1491" i="4" s="1"/>
  <c r="BC1513" i="4"/>
  <c r="AV1513" i="4"/>
  <c r="AV1543" i="4"/>
  <c r="BC1543" i="4"/>
  <c r="BC1565" i="4"/>
  <c r="AV1565" i="4"/>
  <c r="BC1580" i="4"/>
  <c r="AV1580" i="4"/>
  <c r="AW1593" i="4"/>
  <c r="BH1593" i="4"/>
  <c r="AB1593" i="4" s="1"/>
  <c r="BI1621" i="4"/>
  <c r="AX1621" i="4"/>
  <c r="BI1627" i="4"/>
  <c r="AE1627" i="4" s="1"/>
  <c r="AX1627" i="4"/>
  <c r="BC1283" i="4"/>
  <c r="BC1310" i="4"/>
  <c r="AV1319" i="4"/>
  <c r="AV1327" i="4"/>
  <c r="AX1337" i="4"/>
  <c r="BC1337" i="4" s="1"/>
  <c r="AV1377" i="4"/>
  <c r="AX1424" i="4"/>
  <c r="BC1424" i="4" s="1"/>
  <c r="BI1424" i="4"/>
  <c r="AE1424" i="4" s="1"/>
  <c r="AW1430" i="4"/>
  <c r="BH1430" i="4"/>
  <c r="AD1430" i="4" s="1"/>
  <c r="AV1434" i="4"/>
  <c r="AV1330" i="4"/>
  <c r="BI1342" i="4"/>
  <c r="AC1342" i="4" s="1"/>
  <c r="BI1347" i="4"/>
  <c r="AX1347" i="4"/>
  <c r="BC1347" i="4" s="1"/>
  <c r="AL1377" i="4"/>
  <c r="AU1371" i="4" s="1"/>
  <c r="I1371" i="4"/>
  <c r="AW1393" i="4"/>
  <c r="BH1393" i="4"/>
  <c r="AD1393" i="4" s="1"/>
  <c r="BI1450" i="4"/>
  <c r="AE1450" i="4" s="1"/>
  <c r="AX1450" i="4"/>
  <c r="BC1509" i="4"/>
  <c r="AV1509" i="4"/>
  <c r="BC1569" i="4"/>
  <c r="AV1569" i="4"/>
  <c r="BH1595" i="4"/>
  <c r="AB1595" i="4" s="1"/>
  <c r="AW1595" i="4"/>
  <c r="AV1605" i="4"/>
  <c r="AW1250" i="4"/>
  <c r="AX1252" i="4"/>
  <c r="BC1252" i="4" s="1"/>
  <c r="AW1274" i="4"/>
  <c r="AX1277" i="4"/>
  <c r="AV1277" i="4" s="1"/>
  <c r="AW1300" i="4"/>
  <c r="AW1306" i="4"/>
  <c r="AX1307" i="4"/>
  <c r="BC1307" i="4" s="1"/>
  <c r="AW1318" i="4"/>
  <c r="BI1325" i="4"/>
  <c r="AG1325" i="4" s="1"/>
  <c r="AW1341" i="4"/>
  <c r="BC1355" i="4"/>
  <c r="AX1384" i="4"/>
  <c r="AV1384" i="4" s="1"/>
  <c r="BI1393" i="4"/>
  <c r="AE1393" i="4" s="1"/>
  <c r="AX1393" i="4"/>
  <c r="BC1420" i="4"/>
  <c r="AV1420" i="4"/>
  <c r="AV1456" i="4"/>
  <c r="AV1527" i="4"/>
  <c r="BC1527" i="4"/>
  <c r="AW1322" i="4"/>
  <c r="BH1337" i="4"/>
  <c r="AB1337" i="4" s="1"/>
  <c r="BH1338" i="4"/>
  <c r="AB1338" i="4" s="1"/>
  <c r="AW1338" i="4"/>
  <c r="BC1360" i="4"/>
  <c r="BI1380" i="4"/>
  <c r="AC1380" i="4" s="1"/>
  <c r="AX1380" i="4"/>
  <c r="AV1380" i="4" s="1"/>
  <c r="BI1468" i="4"/>
  <c r="AE1468" i="4" s="1"/>
  <c r="AX1468" i="4"/>
  <c r="AV1468" i="4" s="1"/>
  <c r="BI1577" i="4"/>
  <c r="AC1577" i="4" s="1"/>
  <c r="AX1577" i="4"/>
  <c r="AV1577" i="4" s="1"/>
  <c r="AW1270" i="4"/>
  <c r="AX1272" i="4"/>
  <c r="AV1272" i="4" s="1"/>
  <c r="AW1296" i="4"/>
  <c r="AX1298" i="4"/>
  <c r="AW1304" i="4"/>
  <c r="AX1305" i="4"/>
  <c r="AV1305" i="4" s="1"/>
  <c r="AW1316" i="4"/>
  <c r="AX1317" i="4"/>
  <c r="BC1317" i="4" s="1"/>
  <c r="AV1324" i="4"/>
  <c r="BC1330" i="4"/>
  <c r="BH1333" i="4"/>
  <c r="AF1333" i="4" s="1"/>
  <c r="AW1349" i="4"/>
  <c r="BH1349" i="4"/>
  <c r="AL1393" i="4"/>
  <c r="AU1392" i="4" s="1"/>
  <c r="I1392" i="4"/>
  <c r="BC1410" i="4"/>
  <c r="AV1410" i="4"/>
  <c r="BI1567" i="4"/>
  <c r="AE1567" i="4" s="1"/>
  <c r="AX1567" i="4"/>
  <c r="AV1567" i="4" s="1"/>
  <c r="AV1582" i="4"/>
  <c r="BC1582" i="4"/>
  <c r="BC1629" i="4"/>
  <c r="AV1629" i="4"/>
  <c r="AV1321" i="4"/>
  <c r="AX1324" i="4"/>
  <c r="BC1324" i="4" s="1"/>
  <c r="AV1334" i="4"/>
  <c r="AW1365" i="4"/>
  <c r="AX1369" i="4"/>
  <c r="BC1405" i="4"/>
  <c r="BI1444" i="4"/>
  <c r="AE1444" i="4" s="1"/>
  <c r="AX1444" i="4"/>
  <c r="AV1452" i="4"/>
  <c r="BC1452" i="4"/>
  <c r="AU1570" i="4"/>
  <c r="AS1616" i="4"/>
  <c r="BC1619" i="4"/>
  <c r="AV1619" i="4"/>
  <c r="BI1319" i="4"/>
  <c r="AG1319" i="4" s="1"/>
  <c r="BI1322" i="4"/>
  <c r="AC1322" i="4" s="1"/>
  <c r="AX1326" i="4"/>
  <c r="AV1326" i="4" s="1"/>
  <c r="BI1360" i="4"/>
  <c r="AC1360" i="4" s="1"/>
  <c r="BC1374" i="4"/>
  <c r="AV1374" i="4"/>
  <c r="BI1516" i="4"/>
  <c r="AE1516" i="4" s="1"/>
  <c r="AX1516" i="4"/>
  <c r="BC1553" i="4"/>
  <c r="AV1553" i="4"/>
  <c r="BC1571" i="4"/>
  <c r="BC1332" i="4"/>
  <c r="AV1332" i="4"/>
  <c r="AV1340" i="4"/>
  <c r="AV1342" i="4"/>
  <c r="AL1387" i="4"/>
  <c r="AU1386" i="4" s="1"/>
  <c r="AV1396" i="4"/>
  <c r="BI1400" i="4"/>
  <c r="AE1400" i="4" s="1"/>
  <c r="AX1400" i="4"/>
  <c r="AW1422" i="4"/>
  <c r="BH1422" i="4"/>
  <c r="AD1422" i="4" s="1"/>
  <c r="AU1616" i="4"/>
  <c r="AV1358" i="4"/>
  <c r="BC1358" i="4"/>
  <c r="BH1387" i="4"/>
  <c r="AD1387" i="4" s="1"/>
  <c r="AW1387" i="4"/>
  <c r="AV1418" i="4"/>
  <c r="BC1418" i="4"/>
  <c r="AV1470" i="4"/>
  <c r="BC1470" i="4"/>
  <c r="AW1488" i="4"/>
  <c r="BH1488" i="4"/>
  <c r="AD1488" i="4" s="1"/>
  <c r="BI1563" i="4"/>
  <c r="AE1563" i="4" s="1"/>
  <c r="AX1563" i="4"/>
  <c r="AV1563" i="4" s="1"/>
  <c r="BH1321" i="4"/>
  <c r="AB1321" i="4" s="1"/>
  <c r="BI1323" i="4"/>
  <c r="AC1323" i="4" s="1"/>
  <c r="AX1323" i="4"/>
  <c r="BI1338" i="4"/>
  <c r="AC1338" i="4" s="1"/>
  <c r="AV1348" i="4"/>
  <c r="BI1413" i="4"/>
  <c r="AE1413" i="4" s="1"/>
  <c r="AX1413" i="4"/>
  <c r="AV1428" i="4"/>
  <c r="AV1476" i="4"/>
  <c r="BC1511" i="4"/>
  <c r="AV1511" i="4"/>
  <c r="I1515" i="4"/>
  <c r="I1353" i="4" s="1"/>
  <c r="L16" i="3" s="1"/>
  <c r="P16" i="3" s="1"/>
  <c r="BC1524" i="4"/>
  <c r="BH1531" i="4"/>
  <c r="AD1531" i="4" s="1"/>
  <c r="AW1531" i="4"/>
  <c r="BI1571" i="4"/>
  <c r="AC1571" i="4" s="1"/>
  <c r="AX1571" i="4"/>
  <c r="AS1371" i="4"/>
  <c r="AW1438" i="4"/>
  <c r="AL1448" i="4"/>
  <c r="AU1447" i="4" s="1"/>
  <c r="I1447" i="4"/>
  <c r="AV1462" i="4"/>
  <c r="BI1503" i="4"/>
  <c r="AE1503" i="4" s="1"/>
  <c r="AV1524" i="4"/>
  <c r="AX1548" i="4"/>
  <c r="AV1571" i="4"/>
  <c r="BH1342" i="4"/>
  <c r="AB1342" i="4" s="1"/>
  <c r="BC1384" i="4"/>
  <c r="AX1438" i="4"/>
  <c r="AW1448" i="4"/>
  <c r="AX1456" i="4"/>
  <c r="BC1456" i="4" s="1"/>
  <c r="BC1497" i="4"/>
  <c r="AX1524" i="4"/>
  <c r="AX1531" i="4"/>
  <c r="AW1536" i="4"/>
  <c r="AW1559" i="4"/>
  <c r="I1592" i="4"/>
  <c r="AW1335" i="4"/>
  <c r="AX1336" i="4"/>
  <c r="BC1336" i="4" s="1"/>
  <c r="AT1354" i="4"/>
  <c r="AX1377" i="4"/>
  <c r="BC1377" i="4" s="1"/>
  <c r="BI1396" i="4"/>
  <c r="AE1396" i="4" s="1"/>
  <c r="AW1400" i="4"/>
  <c r="AW1436" i="4"/>
  <c r="AW1444" i="4"/>
  <c r="BC1462" i="4"/>
  <c r="BI1593" i="4"/>
  <c r="AC1593" i="4" s="1"/>
  <c r="AX1593" i="4"/>
  <c r="BI1595" i="4"/>
  <c r="AC1595" i="4" s="1"/>
  <c r="BC1624" i="4"/>
  <c r="AV1624" i="4"/>
  <c r="I1346" i="4"/>
  <c r="I1345" i="4" s="1"/>
  <c r="AW1466" i="4"/>
  <c r="AX1488" i="4"/>
  <c r="BI1491" i="4"/>
  <c r="AE1491" i="4" s="1"/>
  <c r="AV1506" i="4"/>
  <c r="BI1536" i="4"/>
  <c r="AE1536" i="4" s="1"/>
  <c r="AV1541" i="4"/>
  <c r="BH1571" i="4"/>
  <c r="AB1571" i="4" s="1"/>
  <c r="AT1570" i="4"/>
  <c r="BC1577" i="4"/>
  <c r="AV1589" i="4"/>
  <c r="BI1605" i="4"/>
  <c r="AX1605" i="4"/>
  <c r="BC1605" i="4" s="1"/>
  <c r="BC1363" i="4"/>
  <c r="BC1408" i="4"/>
  <c r="AX1428" i="4"/>
  <c r="BC1428" i="4" s="1"/>
  <c r="AW1472" i="4"/>
  <c r="AV1494" i="4"/>
  <c r="AW1529" i="4"/>
  <c r="AV1609" i="4"/>
  <c r="AV1611" i="4"/>
  <c r="BI1614" i="4"/>
  <c r="AG1614" i="4" s="1"/>
  <c r="AX1614" i="4"/>
  <c r="AV1614" i="4" s="1"/>
  <c r="AV1617" i="4"/>
  <c r="AW1631" i="4"/>
  <c r="BC1434" i="4"/>
  <c r="BC1460" i="4"/>
  <c r="AV1460" i="4"/>
  <c r="BC1478" i="4"/>
  <c r="AV1478" i="4"/>
  <c r="BC1521" i="4"/>
  <c r="AV1521" i="4"/>
  <c r="BI1533" i="4"/>
  <c r="AE1533" i="4" s="1"/>
  <c r="AX1533" i="4"/>
  <c r="AV1533" i="4" s="1"/>
  <c r="BC1555" i="4"/>
  <c r="AW1398" i="4"/>
  <c r="AX1434" i="4"/>
  <c r="AW1503" i="4"/>
  <c r="BH1561" i="4"/>
  <c r="AD1561" i="4" s="1"/>
  <c r="AW1561" i="4"/>
  <c r="BH1563" i="4"/>
  <c r="AD1563" i="4" s="1"/>
  <c r="BC1584" i="4"/>
  <c r="BH1586" i="4"/>
  <c r="AB1586" i="4" s="1"/>
  <c r="AS1362" i="4"/>
  <c r="BC1426" i="4"/>
  <c r="AW1485" i="4"/>
  <c r="AL1518" i="4"/>
  <c r="AU1515" i="4" s="1"/>
  <c r="BC1539" i="4"/>
  <c r="AV1555" i="4"/>
  <c r="AW1574" i="4"/>
  <c r="AT1592" i="4"/>
  <c r="BC1598" i="4"/>
  <c r="BH1621" i="4"/>
  <c r="AW1621" i="4"/>
  <c r="AU1626" i="4"/>
  <c r="BH1629" i="4"/>
  <c r="AD1629" i="4" s="1"/>
  <c r="BI1631" i="4"/>
  <c r="AE1631" i="4" s="1"/>
  <c r="BH1380" i="4"/>
  <c r="AB1380" i="4" s="1"/>
  <c r="AW1637" i="4"/>
  <c r="AX1637" i="4"/>
  <c r="AW1633" i="4"/>
  <c r="AX1635" i="4"/>
  <c r="C22" i="1" l="1"/>
  <c r="AV438" i="4"/>
  <c r="BC438" i="4"/>
  <c r="AV472" i="4"/>
  <c r="BC472" i="4"/>
  <c r="AV292" i="4"/>
  <c r="BC292" i="4"/>
  <c r="C29" i="1"/>
  <c r="F29" i="1" s="1"/>
  <c r="AV722" i="4"/>
  <c r="BC722" i="4"/>
  <c r="BC514" i="4"/>
  <c r="AV514" i="4"/>
  <c r="BC713" i="4"/>
  <c r="AV713" i="4"/>
  <c r="BC539" i="4"/>
  <c r="AV539" i="4"/>
  <c r="BC207" i="4"/>
  <c r="AV207" i="4"/>
  <c r="BC374" i="4"/>
  <c r="AV374" i="4"/>
  <c r="BC82" i="4"/>
  <c r="AV82" i="4"/>
  <c r="AV1230" i="4"/>
  <c r="BC1230" i="4"/>
  <c r="I1187" i="4"/>
  <c r="L15" i="3" s="1"/>
  <c r="P15" i="3" s="1"/>
  <c r="BC1110" i="4"/>
  <c r="AV1110" i="4"/>
  <c r="BC1020" i="4"/>
  <c r="AV689" i="4"/>
  <c r="BC689" i="4"/>
  <c r="AV801" i="4"/>
  <c r="BC801" i="4"/>
  <c r="AV950" i="4"/>
  <c r="BC616" i="4"/>
  <c r="AV616" i="4"/>
  <c r="AV503" i="4"/>
  <c r="BC368" i="4"/>
  <c r="AV368" i="4"/>
  <c r="BC673" i="4"/>
  <c r="AV673" i="4"/>
  <c r="BC381" i="4"/>
  <c r="AV381" i="4"/>
  <c r="BC34" i="4"/>
  <c r="AV34" i="4"/>
  <c r="BC493" i="4"/>
  <c r="AV493" i="4"/>
  <c r="BC228" i="4"/>
  <c r="AV228" i="4"/>
  <c r="AV598" i="4"/>
  <c r="BC598" i="4"/>
  <c r="BC139" i="4"/>
  <c r="BC1102" i="4"/>
  <c r="AV1102" i="4"/>
  <c r="BC1163" i="4"/>
  <c r="AV1163" i="4"/>
  <c r="AV692" i="4"/>
  <c r="BC692" i="4"/>
  <c r="BC1306" i="4"/>
  <c r="AV1306" i="4"/>
  <c r="AV1337" i="4"/>
  <c r="BC1468" i="4"/>
  <c r="BC1300" i="4"/>
  <c r="AV1300" i="4"/>
  <c r="BC1063" i="4"/>
  <c r="AV1063" i="4"/>
  <c r="BC773" i="4"/>
  <c r="AV773" i="4"/>
  <c r="BC216" i="4"/>
  <c r="AV216" i="4"/>
  <c r="AV1369" i="4"/>
  <c r="BC1369" i="4"/>
  <c r="BC1339" i="4"/>
  <c r="BC1593" i="4"/>
  <c r="AV1593" i="4"/>
  <c r="BC1518" i="4"/>
  <c r="AV1518" i="4"/>
  <c r="BC1220" i="4"/>
  <c r="AV1220" i="4"/>
  <c r="BC1184" i="4"/>
  <c r="AV1184" i="4"/>
  <c r="BC1147" i="4"/>
  <c r="AV1147" i="4"/>
  <c r="BC1256" i="4"/>
  <c r="AV1256" i="4"/>
  <c r="BC1149" i="4"/>
  <c r="AV1149" i="4"/>
  <c r="BC1039" i="4"/>
  <c r="AV1039" i="4"/>
  <c r="AV1258" i="4"/>
  <c r="AV1130" i="4"/>
  <c r="BC1130" i="4"/>
  <c r="AV1107" i="4"/>
  <c r="BC1107" i="4"/>
  <c r="AV1109" i="4"/>
  <c r="BC1066" i="4"/>
  <c r="AV1066" i="4"/>
  <c r="BC762" i="4"/>
  <c r="AV762" i="4"/>
  <c r="BC1047" i="4"/>
  <c r="AV1047" i="4"/>
  <c r="AV969" i="4"/>
  <c r="BC969" i="4"/>
  <c r="AV1057" i="4"/>
  <c r="BC677" i="4"/>
  <c r="AV677" i="4"/>
  <c r="BC497" i="4"/>
  <c r="AV497" i="4"/>
  <c r="BC563" i="4"/>
  <c r="AV563" i="4"/>
  <c r="AV341" i="4"/>
  <c r="I12" i="4"/>
  <c r="L12" i="3" s="1"/>
  <c r="P12" i="3" s="1"/>
  <c r="BC273" i="4"/>
  <c r="AV14" i="4"/>
  <c r="BC1097" i="4"/>
  <c r="AV1097" i="4"/>
  <c r="AV601" i="4"/>
  <c r="BC601" i="4"/>
  <c r="BC664" i="4"/>
  <c r="AV664" i="4"/>
  <c r="BC1485" i="4"/>
  <c r="AV1485" i="4"/>
  <c r="BC1019" i="4"/>
  <c r="AV1019" i="4"/>
  <c r="BC1335" i="4"/>
  <c r="AV1335" i="4"/>
  <c r="BC1224" i="4"/>
  <c r="AV1224" i="4"/>
  <c r="BC1113" i="4"/>
  <c r="AV521" i="4"/>
  <c r="BC521" i="4"/>
  <c r="BC1559" i="4"/>
  <c r="AV1559" i="4"/>
  <c r="BC1621" i="4"/>
  <c r="AV1621" i="4"/>
  <c r="BC1529" i="4"/>
  <c r="AV1529" i="4"/>
  <c r="BC1567" i="4"/>
  <c r="BC1536" i="4"/>
  <c r="AV1536" i="4"/>
  <c r="BC1365" i="4"/>
  <c r="AV1365" i="4"/>
  <c r="BC1304" i="4"/>
  <c r="AV1304" i="4"/>
  <c r="BC1274" i="4"/>
  <c r="AV1274" i="4"/>
  <c r="BC1450" i="4"/>
  <c r="AV1450" i="4"/>
  <c r="AV1307" i="4"/>
  <c r="BC1454" i="4"/>
  <c r="AV1454" i="4"/>
  <c r="BC1191" i="4"/>
  <c r="AV1191" i="4"/>
  <c r="AV1089" i="4"/>
  <c r="BC1089" i="4"/>
  <c r="BC1101" i="4"/>
  <c r="AV1101" i="4"/>
  <c r="BC1136" i="4"/>
  <c r="AV1136" i="4"/>
  <c r="BC1148" i="4"/>
  <c r="AV1148" i="4"/>
  <c r="BC1084" i="4"/>
  <c r="BC942" i="4"/>
  <c r="AV942" i="4"/>
  <c r="BC1045" i="4"/>
  <c r="AV1045" i="4"/>
  <c r="AV782" i="4"/>
  <c r="BC782" i="4"/>
  <c r="BC587" i="4"/>
  <c r="AV587" i="4"/>
  <c r="BC412" i="4"/>
  <c r="AV412" i="4"/>
  <c r="AV524" i="4"/>
  <c r="AV416" i="4"/>
  <c r="BC566" i="4"/>
  <c r="BC80" i="4"/>
  <c r="AV80" i="4"/>
  <c r="AV230" i="4"/>
  <c r="BC230" i="4"/>
  <c r="BC1637" i="4"/>
  <c r="AV1637" i="4"/>
  <c r="BC1124" i="4"/>
  <c r="AV1124" i="4"/>
  <c r="AV557" i="4"/>
  <c r="BC557" i="4"/>
  <c r="BC1533" i="4"/>
  <c r="AV1548" i="4"/>
  <c r="BC1548" i="4"/>
  <c r="BC20" i="4"/>
  <c r="AV20" i="4"/>
  <c r="AV1166" i="4"/>
  <c r="BC1166" i="4"/>
  <c r="BC1135" i="4"/>
  <c r="AV1135" i="4"/>
  <c r="BC1183" i="4"/>
  <c r="AV1183" i="4"/>
  <c r="AV778" i="4"/>
  <c r="BC778" i="4"/>
  <c r="BC629" i="4"/>
  <c r="AV629" i="4"/>
  <c r="BC816" i="4"/>
  <c r="AV816" i="4"/>
  <c r="BC752" i="4"/>
  <c r="AV752" i="4"/>
  <c r="AV321" i="4"/>
  <c r="BC60" i="4"/>
  <c r="AV60" i="4"/>
  <c r="BC136" i="4"/>
  <c r="AV136" i="4"/>
  <c r="BC469" i="4"/>
  <c r="AV469" i="4"/>
  <c r="AV157" i="4"/>
  <c r="BC157" i="4"/>
  <c r="AV1028" i="4"/>
  <c r="BC1028" i="4"/>
  <c r="BC475" i="4"/>
  <c r="AV475" i="4"/>
  <c r="BC508" i="4"/>
  <c r="AV508" i="4"/>
  <c r="AV1336" i="4"/>
  <c r="AV1561" i="4"/>
  <c r="BC1561" i="4"/>
  <c r="AV1472" i="4"/>
  <c r="BC1472" i="4"/>
  <c r="BC1444" i="4"/>
  <c r="AV1444" i="4"/>
  <c r="BC1326" i="4"/>
  <c r="BC1296" i="4"/>
  <c r="AV1296" i="4"/>
  <c r="BC1338" i="4"/>
  <c r="AV1338" i="4"/>
  <c r="BC1380" i="4"/>
  <c r="BC1250" i="4"/>
  <c r="AV1250" i="4"/>
  <c r="AV1424" i="4"/>
  <c r="AV1413" i="4"/>
  <c r="BC1413" i="4"/>
  <c r="AV1173" i="4"/>
  <c r="BC1170" i="4"/>
  <c r="AV1170" i="4"/>
  <c r="BC1174" i="4"/>
  <c r="AV1174" i="4"/>
  <c r="AV1118" i="4"/>
  <c r="BC1118" i="4"/>
  <c r="BC1125" i="4"/>
  <c r="AV1125" i="4"/>
  <c r="BC1049" i="4"/>
  <c r="BC1002" i="4"/>
  <c r="AV1002" i="4"/>
  <c r="BC1041" i="4"/>
  <c r="AV1041" i="4"/>
  <c r="BC1042" i="4"/>
  <c r="BC768" i="4"/>
  <c r="AV768" i="4"/>
  <c r="AV649" i="4"/>
  <c r="BC649" i="4"/>
  <c r="BC560" i="4"/>
  <c r="AV560" i="4"/>
  <c r="BC393" i="4"/>
  <c r="AV393" i="4"/>
  <c r="AV775" i="4"/>
  <c r="AV675" i="4"/>
  <c r="AV147" i="4"/>
  <c r="BC1491" i="4"/>
  <c r="AV1491" i="4"/>
  <c r="BC1004" i="4"/>
  <c r="AV1004" i="4"/>
  <c r="BC1614" i="4"/>
  <c r="BC1430" i="4"/>
  <c r="AV1430" i="4"/>
  <c r="AV1123" i="4"/>
  <c r="BC1123" i="4"/>
  <c r="BC1175" i="4"/>
  <c r="BC1309" i="4"/>
  <c r="AV1309" i="4"/>
  <c r="AV1030" i="4"/>
  <c r="BC1086" i="4"/>
  <c r="AV1086" i="4"/>
  <c r="AV736" i="4"/>
  <c r="BC736" i="4"/>
  <c r="AV646" i="4"/>
  <c r="BC646" i="4"/>
  <c r="AV614" i="4"/>
  <c r="BC614" i="4"/>
  <c r="AV925" i="4"/>
  <c r="BC925" i="4"/>
  <c r="AV765" i="4"/>
  <c r="BC550" i="4"/>
  <c r="BC506" i="4"/>
  <c r="AV506" i="4"/>
  <c r="BC271" i="4"/>
  <c r="AV271" i="4"/>
  <c r="BC32" i="4"/>
  <c r="AV32" i="4"/>
  <c r="AV453" i="4"/>
  <c r="BC84" i="4"/>
  <c r="AV84" i="4"/>
  <c r="AV145" i="4"/>
  <c r="BC145" i="4"/>
  <c r="BC1398" i="4"/>
  <c r="AV1398" i="4"/>
  <c r="BC945" i="4"/>
  <c r="AV945" i="4"/>
  <c r="AV1100" i="4"/>
  <c r="BC1100" i="4"/>
  <c r="BC1064" i="4"/>
  <c r="AV1064" i="4"/>
  <c r="BC748" i="4"/>
  <c r="AV748" i="4"/>
  <c r="AV1387" i="4"/>
  <c r="BC1387" i="4"/>
  <c r="BC1323" i="4"/>
  <c r="AV1323" i="4"/>
  <c r="BC1316" i="4"/>
  <c r="AV1316" i="4"/>
  <c r="BC669" i="4"/>
  <c r="AV669" i="4"/>
  <c r="AV423" i="4"/>
  <c r="BC423" i="4"/>
  <c r="BC132" i="4"/>
  <c r="AV132" i="4"/>
  <c r="BC1436" i="4"/>
  <c r="AV1436" i="4"/>
  <c r="BC1635" i="4"/>
  <c r="AV1635" i="4"/>
  <c r="BC1574" i="4"/>
  <c r="AV1574" i="4"/>
  <c r="AV1400" i="4"/>
  <c r="BC1400" i="4"/>
  <c r="AV1438" i="4"/>
  <c r="BC1438" i="4"/>
  <c r="AV1488" i="4"/>
  <c r="BC1488" i="4"/>
  <c r="BC1563" i="4"/>
  <c r="BC1270" i="4"/>
  <c r="AV1270" i="4"/>
  <c r="AV1341" i="4"/>
  <c r="BC1341" i="4"/>
  <c r="AV1252" i="4"/>
  <c r="AV1402" i="4"/>
  <c r="BC1402" i="4"/>
  <c r="BC1281" i="4"/>
  <c r="AV1281" i="4"/>
  <c r="BC1112" i="4"/>
  <c r="AV1112" i="4"/>
  <c r="AV1055" i="4"/>
  <c r="BC1055" i="4"/>
  <c r="BC728" i="4"/>
  <c r="AV728" i="4"/>
  <c r="BC626" i="4"/>
  <c r="AV626" i="4"/>
  <c r="AV586" i="4"/>
  <c r="BC586" i="4"/>
  <c r="AV804" i="4"/>
  <c r="BC804" i="4"/>
  <c r="AV361" i="4"/>
  <c r="BC361" i="4"/>
  <c r="BC456" i="4"/>
  <c r="AV456" i="4"/>
  <c r="BC211" i="4"/>
  <c r="AV211" i="4"/>
  <c r="BC461" i="4"/>
  <c r="AV461" i="4"/>
  <c r="AV40" i="4"/>
  <c r="BC1193" i="4"/>
  <c r="AV1193" i="4"/>
  <c r="AV820" i="4"/>
  <c r="F29" i="2"/>
  <c r="BC516" i="4"/>
  <c r="BC1318" i="4"/>
  <c r="AV1318" i="4"/>
  <c r="AV1531" i="4"/>
  <c r="BC1531" i="4"/>
  <c r="BC1164" i="4"/>
  <c r="AV1164" i="4"/>
  <c r="BC1633" i="4"/>
  <c r="AV1633" i="4"/>
  <c r="AV1503" i="4"/>
  <c r="BC1503" i="4"/>
  <c r="AV1448" i="4"/>
  <c r="BC1448" i="4"/>
  <c r="AV1349" i="4"/>
  <c r="BC1349" i="4"/>
  <c r="BC1322" i="4"/>
  <c r="AV1322" i="4"/>
  <c r="BC1595" i="4"/>
  <c r="AV1595" i="4"/>
  <c r="AV1393" i="4"/>
  <c r="BC1393" i="4"/>
  <c r="BC1246" i="4"/>
  <c r="AV1246" i="4"/>
  <c r="BC1090" i="4"/>
  <c r="AV1090" i="4"/>
  <c r="AV1317" i="4"/>
  <c r="BC825" i="4"/>
  <c r="AV825" i="4"/>
  <c r="AV725" i="4"/>
  <c r="BC725" i="4"/>
  <c r="BC707" i="4"/>
  <c r="AV707" i="4"/>
  <c r="BC636" i="4"/>
  <c r="AV636" i="4"/>
  <c r="BC1040" i="4"/>
  <c r="AV1040" i="4"/>
  <c r="BC603" i="4"/>
  <c r="AV603" i="4"/>
  <c r="AV574" i="4"/>
  <c r="BC574" i="4"/>
  <c r="BC501" i="4"/>
  <c r="AV501" i="4"/>
  <c r="AV338" i="4"/>
  <c r="BC338" i="4"/>
  <c r="BC499" i="4"/>
  <c r="AV499" i="4"/>
  <c r="BC238" i="4"/>
  <c r="AV238" i="4"/>
  <c r="BC1631" i="4"/>
  <c r="AV1631" i="4"/>
  <c r="BC1466" i="4"/>
  <c r="AV1466" i="4"/>
  <c r="BC1422" i="4"/>
  <c r="AV1422" i="4"/>
  <c r="AV1516" i="4"/>
  <c r="BC1516" i="4"/>
  <c r="AV1627" i="4"/>
  <c r="BC1627" i="4"/>
  <c r="AV1172" i="4"/>
  <c r="BC1172" i="4"/>
  <c r="BC1168" i="4"/>
  <c r="AV1168" i="4"/>
  <c r="I1144" i="4"/>
  <c r="L14" i="3" s="1"/>
  <c r="P14" i="3" s="1"/>
  <c r="BC1137" i="4"/>
  <c r="AV1137" i="4"/>
  <c r="AV827" i="4"/>
  <c r="BC827" i="4"/>
  <c r="BC809" i="4"/>
  <c r="AV809" i="4"/>
  <c r="BC632" i="4"/>
  <c r="AV554" i="4"/>
  <c r="BC554" i="4"/>
  <c r="BC403" i="4"/>
  <c r="AV403" i="4"/>
  <c r="BC861" i="4"/>
  <c r="AV861" i="4"/>
  <c r="AV308" i="4"/>
  <c r="BC308" i="4"/>
  <c r="BC478" i="4"/>
  <c r="AV478" i="4"/>
  <c r="BC226" i="4"/>
  <c r="AV226" i="4"/>
  <c r="BC400" i="4"/>
  <c r="AV400" i="4"/>
  <c r="BC134" i="4"/>
  <c r="AV134" i="4"/>
  <c r="AV98" i="4"/>
  <c r="BC98" i="4"/>
  <c r="BC86" i="4"/>
  <c r="AV268" i="4"/>
  <c r="BC289" i="4"/>
  <c r="I28" i="1" l="1"/>
  <c r="I29" i="1" s="1"/>
  <c r="L17" i="3"/>
</calcChain>
</file>

<file path=xl/sharedStrings.xml><?xml version="1.0" encoding="utf-8"?>
<sst xmlns="http://schemas.openxmlformats.org/spreadsheetml/2006/main" count="10423" uniqueCount="2975">
  <si>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</si>
  <si>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</si>
  <si>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</si>
  <si>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</si>
  <si>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</si>
  <si>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</si>
  <si>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</si>
  <si>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</si>
  <si>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</si>
  <si>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</si>
  <si>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</si>
  <si>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</si>
  <si>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</si>
  <si>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</si>
  <si>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</si>
  <si>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</si>
  <si>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</si>
  <si>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</si>
  <si>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</si>
  <si>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</si>
  <si>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</si>
  <si>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</si>
  <si>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</si>
  <si>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</si>
  <si>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</si>
  <si>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</si>
  <si>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</si>
  <si>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</si>
  <si>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</si>
  <si>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</si>
  <si>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</si>
  <si>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</si>
  <si>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</si>
  <si>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</si>
  <si>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</si>
  <si>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</si>
  <si>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</si>
  <si>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</si>
  <si>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</si>
  <si>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</si>
  <si>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</si>
  <si>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</si>
  <si>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</si>
  <si>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</si>
  <si>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</si>
  <si>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</si>
  <si>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</si>
  <si>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</si>
  <si>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</si>
  <si>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</si>
  <si>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</si>
  <si>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</si>
  <si>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</si>
  <si>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</si>
  <si>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</si>
  <si>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</si>
  <si>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</si>
  <si>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</si>
  <si>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</si>
  <si>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</si>
  <si>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</si>
  <si>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</si>
  <si>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</si>
  <si>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</si>
  <si>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</si>
  <si>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</si>
  <si>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</si>
  <si>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</si>
  <si>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</si>
  <si>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</si>
  <si>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</si>
  <si>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</si>
  <si>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</si>
  <si>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</si>
  <si>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</si>
  <si>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</si>
  <si>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 - Jen objekty celkem</t>
  </si>
  <si>
    <t>Doba výstavby:</t>
  </si>
  <si>
    <t>Zpracováno dne:</t>
  </si>
  <si>
    <t xml:space="preserve"> </t>
  </si>
  <si>
    <t>Náklady (Kč)</t>
  </si>
  <si>
    <t>Objekt</t>
  </si>
  <si>
    <t>Zkrácený popis</t>
  </si>
  <si>
    <t>Celkem</t>
  </si>
  <si>
    <t>S01A</t>
  </si>
  <si>
    <t>Stavební část a bourací práce</t>
  </si>
  <si>
    <t>F</t>
  </si>
  <si>
    <t>S01B</t>
  </si>
  <si>
    <t>VZT</t>
  </si>
  <si>
    <t>S01C</t>
  </si>
  <si>
    <t>Vytápění</t>
  </si>
  <si>
    <t>S01D</t>
  </si>
  <si>
    <t>Silnoproud a hromosvod</t>
  </si>
  <si>
    <t>S01E</t>
  </si>
  <si>
    <t>ZTI</t>
  </si>
  <si>
    <t>Celkem:</t>
  </si>
  <si>
    <t>Slepý stavební rozpočet</t>
  </si>
  <si>
    <t>Šluknov - bezbariérové úpravy objektu ZŠ  Žižkova</t>
  </si>
  <si>
    <t> </t>
  </si>
  <si>
    <t>Základní škola</t>
  </si>
  <si>
    <t>25.03.2025</t>
  </si>
  <si>
    <t>Město Šluknov</t>
  </si>
  <si>
    <t>Č</t>
  </si>
  <si>
    <t>Kód</t>
  </si>
  <si>
    <t>Zkrácený popis / Varianta</t>
  </si>
  <si>
    <t>MJ</t>
  </si>
  <si>
    <t>Množství</t>
  </si>
  <si>
    <t>Cena/MJ</t>
  </si>
  <si>
    <t>Cenová</t>
  </si>
  <si>
    <t>ISWORK</t>
  </si>
  <si>
    <t>GROUPCODE</t>
  </si>
  <si>
    <t>VATTAX</t>
  </si>
  <si>
    <t>Rozměry</t>
  </si>
  <si>
    <t>(Kč)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</si>
  <si>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</si>
  <si>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</si>
  <si>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</si>
  <si>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</si>
  <si>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</si>
  <si>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</si>
  <si>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</si>
  <si>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</si>
  <si>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</si>
  <si>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</si>
  <si>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</si>
  <si>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</si>
  <si>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</si>
  <si>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11</t>
  </si>
  <si>
    <t>Přípravné a přidružené práce</t>
  </si>
  <si>
    <t>1</t>
  </si>
  <si>
    <t>113106121R00</t>
  </si>
  <si>
    <t>Rozebrání dlažeb z betonových dlaždic na sucho</t>
  </si>
  <si>
    <t>m2</t>
  </si>
  <si>
    <t>RTS II / 2024</t>
  </si>
  <si>
    <t>11_</t>
  </si>
  <si>
    <t>S01A_1_</t>
  </si>
  <si>
    <t>S01A_</t>
  </si>
  <si>
    <t>16</t>
  </si>
  <si>
    <t>12</t>
  </si>
  <si>
    <t>Odkopávky a prokopávky</t>
  </si>
  <si>
    <t>2</t>
  </si>
  <si>
    <t>122201101R00</t>
  </si>
  <si>
    <t>Odkopávky nezapažené v hor. 3 do 100 m3</t>
  </si>
  <si>
    <t>m3</t>
  </si>
  <si>
    <t>12_</t>
  </si>
  <si>
    <t>2,6*0,3</t>
  </si>
  <si>
    <t>13</t>
  </si>
  <si>
    <t>Hloubené vykopávky</t>
  </si>
  <si>
    <t>3</t>
  </si>
  <si>
    <t>139601102R00</t>
  </si>
  <si>
    <t>Ruční výkop jam, rýh a šachet v hornině tř. 3</t>
  </si>
  <si>
    <t>13_</t>
  </si>
  <si>
    <t>2,5*2,25</t>
  </si>
  <si>
    <t>pro výtahovou šachtu</t>
  </si>
  <si>
    <t>0,5*2,85</t>
  </si>
  <si>
    <t>0,5*3,3</t>
  </si>
  <si>
    <t>(1,8*1,6*1)*2</t>
  </si>
  <si>
    <t>výkop pro patky</t>
  </si>
  <si>
    <t>(1*0,8*0,8)*2</t>
  </si>
  <si>
    <t>výkop pro zhotovení prostupu základy</t>
  </si>
  <si>
    <t>Přemístění výkopku</t>
  </si>
  <si>
    <t>4</t>
  </si>
  <si>
    <t>162701105R00</t>
  </si>
  <si>
    <t>Vodorovné přemístění výkopku z hor.1-4 do 10000 m</t>
  </si>
  <si>
    <t>16_</t>
  </si>
  <si>
    <t>0,78+17,16</t>
  </si>
  <si>
    <t>5</t>
  </si>
  <si>
    <t>162701109R00</t>
  </si>
  <si>
    <t>Příplatek k vod. přemístění hor.1-4 za další 1 km</t>
  </si>
  <si>
    <t>17,94*20</t>
  </si>
  <si>
    <t>skládka zhotovitele</t>
  </si>
  <si>
    <t>6</t>
  </si>
  <si>
    <t>167101101R00</t>
  </si>
  <si>
    <t>Nakládání výkopku z hor. 1 ÷ 4 v množství do 100 m3</t>
  </si>
  <si>
    <t>17,94</t>
  </si>
  <si>
    <t>7</t>
  </si>
  <si>
    <t>979999973R00</t>
  </si>
  <si>
    <t>Poplatek za uložení, zemina a kamení, (skup.170504)</t>
  </si>
  <si>
    <t>t</t>
  </si>
  <si>
    <t>17,94*1,8</t>
  </si>
  <si>
    <t>17</t>
  </si>
  <si>
    <t>Konstrukce ze zemin</t>
  </si>
  <si>
    <t>8</t>
  </si>
  <si>
    <t>174101102R00</t>
  </si>
  <si>
    <t>Zásyp ruční se zhutněním</t>
  </si>
  <si>
    <t>17_</t>
  </si>
  <si>
    <t>zásyp jámy po hotovení prostupů včetně zhutnění</t>
  </si>
  <si>
    <t>27</t>
  </si>
  <si>
    <t>Základy</t>
  </si>
  <si>
    <t>9</t>
  </si>
  <si>
    <t>271531113R00</t>
  </si>
  <si>
    <t>Polštář základu z kameniva hr. drceného 16-32 mm</t>
  </si>
  <si>
    <t>27_</t>
  </si>
  <si>
    <t>S01A_2_</t>
  </si>
  <si>
    <t>(23,4+23+22)*0,1</t>
  </si>
  <si>
    <t>Podlaha F01</t>
  </si>
  <si>
    <t>226,80*0,1</t>
  </si>
  <si>
    <t>Podlaha F03</t>
  </si>
  <si>
    <t>10</t>
  </si>
  <si>
    <t>271531115R00</t>
  </si>
  <si>
    <t>Uložení polštáře z kameniva pod základ se zhutněním a urovnáním povrchu</t>
  </si>
  <si>
    <t>29,52</t>
  </si>
  <si>
    <t>273321321R00</t>
  </si>
  <si>
    <t>Železobeton základových desek C 20/25</t>
  </si>
  <si>
    <t>Varianta:</t>
  </si>
  <si>
    <t>XC2</t>
  </si>
  <si>
    <t>68,4*0,15</t>
  </si>
  <si>
    <t>podlaha F01</t>
  </si>
  <si>
    <t>2,7*0,1</t>
  </si>
  <si>
    <t>žlb. deska šachta vodoměrná</t>
  </si>
  <si>
    <t>3*3*0,1</t>
  </si>
  <si>
    <t>betonový potěr pod výtahovou šachtu</t>
  </si>
  <si>
    <t>4,8*0,25</t>
  </si>
  <si>
    <t>žlb deska výtahová šachta</t>
  </si>
  <si>
    <t>226,8*0,15</t>
  </si>
  <si>
    <t>žlb. deska F03</t>
  </si>
  <si>
    <t>273361921RT4</t>
  </si>
  <si>
    <t>Výztuž základových desek ze svařovaných sítí</t>
  </si>
  <si>
    <t>KH 30, drát d 6,0 mm, oko 100 x 100 mm</t>
  </si>
  <si>
    <t>(14*26,64)/1000</t>
  </si>
  <si>
    <t>podlaha 1NP žlb. deska</t>
  </si>
  <si>
    <t>26,64/1000</t>
  </si>
  <si>
    <t>deska vodoměrná šachta</t>
  </si>
  <si>
    <t>(40*26,64)/1000</t>
  </si>
  <si>
    <t>podlaha F03</t>
  </si>
  <si>
    <t>274272120RT4</t>
  </si>
  <si>
    <t>Zdivo základové z bednicích tvárnic, tl. 200 mm</t>
  </si>
  <si>
    <t>výplň tvárnic betonem C 20/25</t>
  </si>
  <si>
    <t>(1,2+1,2+1+1)*1</t>
  </si>
  <si>
    <t>14</t>
  </si>
  <si>
    <t>273361921RT8</t>
  </si>
  <si>
    <t>KY 81, drát d 8,0 mm, oko 100 x 100 mm</t>
  </si>
  <si>
    <t>(2*47,4)/1000</t>
  </si>
  <si>
    <t>kari síť 8/100/100 do základové konstrukce výtahové šachty</t>
  </si>
  <si>
    <t>31</t>
  </si>
  <si>
    <t>Zdi podpěrné a volné</t>
  </si>
  <si>
    <t>15</t>
  </si>
  <si>
    <t>311101212R00</t>
  </si>
  <si>
    <t>Vytvoření prostupů o ploše do 0,05 m2 v nosných zdech</t>
  </si>
  <si>
    <t>m</t>
  </si>
  <si>
    <t>31_</t>
  </si>
  <si>
    <t>S01A_3_</t>
  </si>
  <si>
    <t>0,35</t>
  </si>
  <si>
    <t>0,1</t>
  </si>
  <si>
    <t>311271170R00</t>
  </si>
  <si>
    <t>Dozdívky z tvárnic plynosilikátových tl. 300 mm</t>
  </si>
  <si>
    <t>dozdívky oken 1np</t>
  </si>
  <si>
    <t>1*2,1</t>
  </si>
  <si>
    <t>dozdívka dveří 1np - výtah</t>
  </si>
  <si>
    <t>0,35*12</t>
  </si>
  <si>
    <t>zazdívka oken Jižní pohled</t>
  </si>
  <si>
    <t>(1,2+1,2+1,5+1,5+1,5+1,5+1,5+1,5+1,5+1,5+1,5+1,5+1,5+1,5+1,5+1,5+1,5+1,5)*0,45</t>
  </si>
  <si>
    <t>dozdívka oken</t>
  </si>
  <si>
    <t>0,6*0,6</t>
  </si>
  <si>
    <t>dozdívka 2.07</t>
  </si>
  <si>
    <t>dozdívka dodatek</t>
  </si>
  <si>
    <t>973031326R00</t>
  </si>
  <si>
    <t>Vysekání kapes zeď cihel. MVC, pl. 0,1m2, hl. 45cm</t>
  </si>
  <si>
    <t>kus</t>
  </si>
  <si>
    <t xml:space="preserve">vysekání kapes pro osazení keramických plochých překladů pro snížení výšky nadpraží
</t>
  </si>
  <si>
    <t>PR01</t>
  </si>
  <si>
    <t>28*2</t>
  </si>
  <si>
    <t>PR02</t>
  </si>
  <si>
    <t>2*2</t>
  </si>
  <si>
    <t>PR03</t>
  </si>
  <si>
    <t>6*2</t>
  </si>
  <si>
    <t>PR04</t>
  </si>
  <si>
    <t>18</t>
  </si>
  <si>
    <t>317168123R00</t>
  </si>
  <si>
    <t>Překlad plochý 145 x 71 x 1500 mm</t>
  </si>
  <si>
    <t>19</t>
  </si>
  <si>
    <t>317168124R00</t>
  </si>
  <si>
    <t>Překlad plochý 145 x 71 x 1750 mm</t>
  </si>
  <si>
    <t>20</t>
  </si>
  <si>
    <t>317168125R00</t>
  </si>
  <si>
    <t>Překlad plochý 145 x 71 x 2000 mm</t>
  </si>
  <si>
    <t>21</t>
  </si>
  <si>
    <t>317168121R00</t>
  </si>
  <si>
    <t>Překlad plochý 145 x 71 x 1000 mm</t>
  </si>
  <si>
    <t>22</t>
  </si>
  <si>
    <t>311112125RT3</t>
  </si>
  <si>
    <t>Stěna z tvárnic ztraceného bednění, tl. 250 mm</t>
  </si>
  <si>
    <t>zalití tvárnic betonem C 20/25</t>
  </si>
  <si>
    <t>(1,6+2,25+2,25)*9,2</t>
  </si>
  <si>
    <t>stěny výtahové šachty</t>
  </si>
  <si>
    <t>1,6*8,8</t>
  </si>
  <si>
    <t>stěna u dveří výtahová šachta</t>
  </si>
  <si>
    <t>-2,4*1,2</t>
  </si>
  <si>
    <t>otvory</t>
  </si>
  <si>
    <t>23</t>
  </si>
  <si>
    <t>311361821R00</t>
  </si>
  <si>
    <t>Výztuž nadzákladových zdí z betonářské oceli B500B (10 505)</t>
  </si>
  <si>
    <t>(290*0,62)/1000</t>
  </si>
  <si>
    <t>R10 výztuž šachta</t>
  </si>
  <si>
    <t>(65*0,62)/1000</t>
  </si>
  <si>
    <t>R10 výztuž přední část šachty</t>
  </si>
  <si>
    <t>(520*0,4)/1000</t>
  </si>
  <si>
    <t>R8 vodorovná výztuž</t>
  </si>
  <si>
    <t>24</t>
  </si>
  <si>
    <t>311271188RT4</t>
  </si>
  <si>
    <t>Zdivo z tvárnic pórobetonových pero - drážka tl. 375 mm</t>
  </si>
  <si>
    <t>dodávka a montáž tvárnice pórobetonová, včetně pomocného lešení</t>
  </si>
  <si>
    <t>4*3,1</t>
  </si>
  <si>
    <t>dozdívka mezi objekty (spojovací krček - objekt)</t>
  </si>
  <si>
    <t>25</t>
  </si>
  <si>
    <t>311237528R00</t>
  </si>
  <si>
    <t>Zdivo z cihel broušených P12,5, tl. 300 mm, lepené celoplošně</t>
  </si>
  <si>
    <t>14,6*3,5</t>
  </si>
  <si>
    <t>přední stěna 2Np po věnec</t>
  </si>
  <si>
    <t>-1,72*0,65</t>
  </si>
  <si>
    <t>-2,28*0,65</t>
  </si>
  <si>
    <t>-1,85*0,65</t>
  </si>
  <si>
    <t>-0,72*0,65</t>
  </si>
  <si>
    <t>-0,785*0,65</t>
  </si>
  <si>
    <t>-1,990*0,65</t>
  </si>
  <si>
    <t>-1,895*0,65</t>
  </si>
  <si>
    <t>18,5*3,2</t>
  </si>
  <si>
    <t>zdivo dvorní část 2NP</t>
  </si>
  <si>
    <t>-(0,76*1,9)*9</t>
  </si>
  <si>
    <t>-1,2*2,15</t>
  </si>
  <si>
    <t>19*0,2</t>
  </si>
  <si>
    <t>atika 2np dvorní část</t>
  </si>
  <si>
    <t>14,6*0,85</t>
  </si>
  <si>
    <t>atika 2np přední část</t>
  </si>
  <si>
    <t>3,7*1</t>
  </si>
  <si>
    <t>atika nad stávající částí 2np</t>
  </si>
  <si>
    <t>7*1,5</t>
  </si>
  <si>
    <t>atika mezi menší a větší částí střechy</t>
  </si>
  <si>
    <t>26</t>
  </si>
  <si>
    <t>317168131R00</t>
  </si>
  <si>
    <t>Překlad keramicko-betonový vysoký 70 x 238 x 1250 mm pro orientované uložení</t>
  </si>
  <si>
    <t>4*9</t>
  </si>
  <si>
    <t>PR05</t>
  </si>
  <si>
    <t>317998111R00</t>
  </si>
  <si>
    <t>Izolace mezi překlady z polystyrenu tl. 50 mm</t>
  </si>
  <si>
    <t>1,25*9</t>
  </si>
  <si>
    <t>2,25</t>
  </si>
  <si>
    <t>PR06</t>
  </si>
  <si>
    <t>2,75</t>
  </si>
  <si>
    <t>PR07</t>
  </si>
  <si>
    <t>3,25</t>
  </si>
  <si>
    <t>PR08</t>
  </si>
  <si>
    <t>3,5</t>
  </si>
  <si>
    <t>PR09</t>
  </si>
  <si>
    <t>2,5</t>
  </si>
  <si>
    <t>PR10</t>
  </si>
  <si>
    <t>4*1,5</t>
  </si>
  <si>
    <t>PR17 PR18</t>
  </si>
  <si>
    <t>1,6</t>
  </si>
  <si>
    <t>PR21</t>
  </si>
  <si>
    <t>28</t>
  </si>
  <si>
    <t>317168135R00</t>
  </si>
  <si>
    <t>Překlad keramicko-betonový vysoký 70 x 238 x 2250 mm pro orientované uložení</t>
  </si>
  <si>
    <t>4*1</t>
  </si>
  <si>
    <t>29</t>
  </si>
  <si>
    <t>317168137R00</t>
  </si>
  <si>
    <t>Překlad keramicko-betonový vysoký 70 x 238 x 2750 mm pro orientované uložení</t>
  </si>
  <si>
    <t>30</t>
  </si>
  <si>
    <t>317168139R00</t>
  </si>
  <si>
    <t>Překlad keramicko-betonový vysoký 70 x 238 x 3250 mm pro orientované uložení</t>
  </si>
  <si>
    <t>317168140R00</t>
  </si>
  <si>
    <t>Překlad keramicko-betonový vysoký 70 x 238 x 3500 mm pro orientované uložení</t>
  </si>
  <si>
    <t>32</t>
  </si>
  <si>
    <t>317168132R00</t>
  </si>
  <si>
    <t>Překlad keraicko-betonový vysoký 70 x 238 x 1500 mm pro orientované uložení</t>
  </si>
  <si>
    <t>4*2</t>
  </si>
  <si>
    <t>PR17</t>
  </si>
  <si>
    <t>3*2</t>
  </si>
  <si>
    <t>PR18</t>
  </si>
  <si>
    <t>33</t>
  </si>
  <si>
    <t>317168136R00</t>
  </si>
  <si>
    <t>Překlad keramicko-betonový vysoký 70 x 238 x 2500 mm pro orientované uložení</t>
  </si>
  <si>
    <t>34</t>
  </si>
  <si>
    <t>317168133R00</t>
  </si>
  <si>
    <t>Překlad keramicko-betonový vysoký 70 x 238 x 1750 mm pro orientované uložení</t>
  </si>
  <si>
    <t>35</t>
  </si>
  <si>
    <t>317147322R00</t>
  </si>
  <si>
    <t>Překlad nenosný z pórobetonu 150 x 250 x 1500 mm</t>
  </si>
  <si>
    <t>PR12</t>
  </si>
  <si>
    <t>36</t>
  </si>
  <si>
    <t>317147312R00</t>
  </si>
  <si>
    <t>Překlad nenosný z pórobetonu 125 x 250 x 1500 mm</t>
  </si>
  <si>
    <t>PR13</t>
  </si>
  <si>
    <t>37</t>
  </si>
  <si>
    <t>317147311R00</t>
  </si>
  <si>
    <t>Překlad nenosný z pórobetonu 125 x 250 x 1200 mm</t>
  </si>
  <si>
    <t>PR14</t>
  </si>
  <si>
    <t>38</t>
  </si>
  <si>
    <t>317147326R00</t>
  </si>
  <si>
    <t>Překlad nenosný z pórobetonu 150 x 250 x 2500 mm</t>
  </si>
  <si>
    <t>PR11 - dodávka a montáž</t>
  </si>
  <si>
    <t>39</t>
  </si>
  <si>
    <t>317147321R00</t>
  </si>
  <si>
    <t>Překlad nenosný z pórobetonu 150 x 250 x 1200 mm</t>
  </si>
  <si>
    <t>PR15</t>
  </si>
  <si>
    <t>40</t>
  </si>
  <si>
    <t>r317121251RT2</t>
  </si>
  <si>
    <t>Montáž ocel překladů do 180 cm dodatečně do rýh</t>
  </si>
  <si>
    <t>vlastní</t>
  </si>
  <si>
    <t>včetně dodávky 2 x L50/50/4mm, včetně pomocného lešení</t>
  </si>
  <si>
    <t>PR16</t>
  </si>
  <si>
    <t>Stěny a příčky</t>
  </si>
  <si>
    <t>41</t>
  </si>
  <si>
    <t>342254511R00</t>
  </si>
  <si>
    <t>Příčky z desek pórobetonových tl. 75 mm</t>
  </si>
  <si>
    <t>34_</t>
  </si>
  <si>
    <t>0,6*3,25</t>
  </si>
  <si>
    <t>m227</t>
  </si>
  <si>
    <t>42</t>
  </si>
  <si>
    <t>342254611R00</t>
  </si>
  <si>
    <t>Příčky z desek pórobetonových tl. 100 mm</t>
  </si>
  <si>
    <t>1,8*3,25</t>
  </si>
  <si>
    <t>m209</t>
  </si>
  <si>
    <t>1,6*3,25</t>
  </si>
  <si>
    <t>M229</t>
  </si>
  <si>
    <t>43</t>
  </si>
  <si>
    <t>342254711R00</t>
  </si>
  <si>
    <t>Příčky z desek pórobetonových tl. 125 mm</t>
  </si>
  <si>
    <t>dodávka a montáž</t>
  </si>
  <si>
    <t>3,8*3,3</t>
  </si>
  <si>
    <t>M124</t>
  </si>
  <si>
    <t>-1*2</t>
  </si>
  <si>
    <t>M125</t>
  </si>
  <si>
    <t>3*3,3</t>
  </si>
  <si>
    <t>M135-138</t>
  </si>
  <si>
    <t>1,9*3,3</t>
  </si>
  <si>
    <t>1,6*3,3</t>
  </si>
  <si>
    <t>1,7*3,3</t>
  </si>
  <si>
    <t>-0,8*2</t>
  </si>
  <si>
    <t>1,8*3,3</t>
  </si>
  <si>
    <t>M139</t>
  </si>
  <si>
    <t>2,8*1,8</t>
  </si>
  <si>
    <t>M141</t>
  </si>
  <si>
    <t>1,25*3,25</t>
  </si>
  <si>
    <t>2np m206</t>
  </si>
  <si>
    <t>3,1*3,25</t>
  </si>
  <si>
    <t>M222</t>
  </si>
  <si>
    <t>3,85*3,25</t>
  </si>
  <si>
    <t>m229 - 228</t>
  </si>
  <si>
    <t>2,8*3,25</t>
  </si>
  <si>
    <t>m228-227</t>
  </si>
  <si>
    <t>7*3,25</t>
  </si>
  <si>
    <t>wc 2np</t>
  </si>
  <si>
    <t>4,5*3,25</t>
  </si>
  <si>
    <t>m222 - m218</t>
  </si>
  <si>
    <t>1,7*3,25</t>
  </si>
  <si>
    <t>m219</t>
  </si>
  <si>
    <t>2,25*3,25</t>
  </si>
  <si>
    <t>-0,9*2</t>
  </si>
  <si>
    <t>m217</t>
  </si>
  <si>
    <t>44</t>
  </si>
  <si>
    <t>342254811R00</t>
  </si>
  <si>
    <t>Příčky z desek pórobetonových tl. 150 mm</t>
  </si>
  <si>
    <t>3,5*3</t>
  </si>
  <si>
    <t>M103</t>
  </si>
  <si>
    <t>-1,8*2,1</t>
  </si>
  <si>
    <t>3,4*3,3</t>
  </si>
  <si>
    <t>M140</t>
  </si>
  <si>
    <t>18,5*3,25</t>
  </si>
  <si>
    <t>M215</t>
  </si>
  <si>
    <t>3,8*3,25</t>
  </si>
  <si>
    <t>M230</t>
  </si>
  <si>
    <t>m237</t>
  </si>
  <si>
    <t>45</t>
  </si>
  <si>
    <t>342254911R00</t>
  </si>
  <si>
    <t>Příčky z desek pórobetonových tl. 200 mm</t>
  </si>
  <si>
    <t>2,3*3,25</t>
  </si>
  <si>
    <t>M208</t>
  </si>
  <si>
    <t>1*3,25</t>
  </si>
  <si>
    <t>M209</t>
  </si>
  <si>
    <t>46</t>
  </si>
  <si>
    <t>R342954111R00</t>
  </si>
  <si>
    <t>Stěny dřevěné, sanitární s dveřmi - dle PD dodávka a montáž</t>
  </si>
  <si>
    <t>11,5</t>
  </si>
  <si>
    <t>1np</t>
  </si>
  <si>
    <t>7*2,1</t>
  </si>
  <si>
    <t>2np</t>
  </si>
  <si>
    <t>8,1*2,1</t>
  </si>
  <si>
    <t>47</t>
  </si>
  <si>
    <t>347014113R00</t>
  </si>
  <si>
    <t>Předstěna SDK, tl.55 mm,1 x ocel. kce CD, 1 x RBI 12,5 mm, bez izolace</t>
  </si>
  <si>
    <t>(0,7*3,25)*2</t>
  </si>
  <si>
    <t>předstěna 2np</t>
  </si>
  <si>
    <t>(0,5*3,25)</t>
  </si>
  <si>
    <t>opláštění oceli</t>
  </si>
  <si>
    <t>opláštěníé oceli</t>
  </si>
  <si>
    <t>6,7</t>
  </si>
  <si>
    <t>požární obklad_dopl</t>
  </si>
  <si>
    <t>48</t>
  </si>
  <si>
    <t>342261112RT3</t>
  </si>
  <si>
    <t>Příčka sádrokarton. ocel.kce, 1x oplášť. tl.100 mm</t>
  </si>
  <si>
    <t>desky standard impreg.tl. 12,5 mm,minerál tl. 5 cm</t>
  </si>
  <si>
    <t>2*0,5</t>
  </si>
  <si>
    <t>sdk příčka - vyrovnání rozdílné výšky</t>
  </si>
  <si>
    <t>Různé kompletní konstrukce nedělitelné do stav. dílů</t>
  </si>
  <si>
    <t>49</t>
  </si>
  <si>
    <t>389381001RT4</t>
  </si>
  <si>
    <t>Dobetonování prefabrikovaných konstrukcí</t>
  </si>
  <si>
    <t>38_</t>
  </si>
  <si>
    <t>betonem třídy C 20/25</t>
  </si>
  <si>
    <t>0,3</t>
  </si>
  <si>
    <t>výplň ocelových překladů PR19 a PR20</t>
  </si>
  <si>
    <t>Stropy a stropní konstrukce (pro pozemní stavby)</t>
  </si>
  <si>
    <t>50</t>
  </si>
  <si>
    <t>417321315R00</t>
  </si>
  <si>
    <t>Ztužující pásy a věnce z betonu železového C 20/25</t>
  </si>
  <si>
    <t>41_</t>
  </si>
  <si>
    <t>S01A_4_</t>
  </si>
  <si>
    <t>0,25*0,3*15</t>
  </si>
  <si>
    <t>věnec přední část</t>
  </si>
  <si>
    <t>51</t>
  </si>
  <si>
    <t>417351111R00</t>
  </si>
  <si>
    <t>Bednění ztužujících věnců, obě strany - zřízení</t>
  </si>
  <si>
    <t>52</t>
  </si>
  <si>
    <t>417351113R00</t>
  </si>
  <si>
    <t>Bednění ztužujících věnců, obě strany - odstranění</t>
  </si>
  <si>
    <t>53</t>
  </si>
  <si>
    <t>417361821R00</t>
  </si>
  <si>
    <t>Výztuž ztužujících pásů a věnců z oceli B500B (10 505)</t>
  </si>
  <si>
    <t>(66*0,89)/1000</t>
  </si>
  <si>
    <t>2+2 R12 věnec přední část</t>
  </si>
  <si>
    <t>(69*0,22)/1000</t>
  </si>
  <si>
    <t>třmínky R6 přední věnec</t>
  </si>
  <si>
    <t>(82*0,89)/1000</t>
  </si>
  <si>
    <t>2+2 R12 věnec dvorní část</t>
  </si>
  <si>
    <t>(88*0,22)/1000</t>
  </si>
  <si>
    <t>třmínky R6 dvorní část</t>
  </si>
  <si>
    <t>54</t>
  </si>
  <si>
    <t>411361921RT1</t>
  </si>
  <si>
    <t>Výztuž stropů svařovanou sítí</t>
  </si>
  <si>
    <t>průměr drátu  4,0, oka 100/100 mm KA16</t>
  </si>
  <si>
    <t>(2*11,88)/1000</t>
  </si>
  <si>
    <t>výztuž kari síť do schodišťových stupňů</t>
  </si>
  <si>
    <t>55</t>
  </si>
  <si>
    <t>411322424R00</t>
  </si>
  <si>
    <t>Stropy trámové ze železobetonu C 25/30</t>
  </si>
  <si>
    <t>155*0,09</t>
  </si>
  <si>
    <t>stropní konstrukce na trapézový plech</t>
  </si>
  <si>
    <t>5*0,18</t>
  </si>
  <si>
    <t>strop nad výtahovou šachtou</t>
  </si>
  <si>
    <t>2*0,12</t>
  </si>
  <si>
    <t>skaldba CF02</t>
  </si>
  <si>
    <t>6*0,1</t>
  </si>
  <si>
    <t>skladba CF01</t>
  </si>
  <si>
    <t>0,65</t>
  </si>
  <si>
    <t>schodišťové stupně betonáž</t>
  </si>
  <si>
    <t>56</t>
  </si>
  <si>
    <t>411361921RT4</t>
  </si>
  <si>
    <t>průměr drátu  6,0, oka 100/100 mm KH30</t>
  </si>
  <si>
    <t>(30*26,64)/1000</t>
  </si>
  <si>
    <t>155 m2 výztuž nad tr. plech do žlb. desky</t>
  </si>
  <si>
    <t>(2*26,64)/1000</t>
  </si>
  <si>
    <t>5 m2 výztuž nad výtahovou šachtu</t>
  </si>
  <si>
    <t>podesta schodiště</t>
  </si>
  <si>
    <t>57</t>
  </si>
  <si>
    <t>411361821R00</t>
  </si>
  <si>
    <t>Výztuž stropů z betonářské oceli B500B (10 505)</t>
  </si>
  <si>
    <t>(630*0,62)/1000</t>
  </si>
  <si>
    <t>roxor R10 á 250 do žlb. stropní konstrukce nad plech</t>
  </si>
  <si>
    <t>(15*0,62)/1000</t>
  </si>
  <si>
    <t>roxor strop výtah</t>
  </si>
  <si>
    <t>(31*0,62)/1000</t>
  </si>
  <si>
    <t>roxor podesta</t>
  </si>
  <si>
    <t>58</t>
  </si>
  <si>
    <t>413200011RAB</t>
  </si>
  <si>
    <t>Dodatečné osazení válcovaných nosníků</t>
  </si>
  <si>
    <t>vysekání kapes, I č. 20, zazdívka zhlaví</t>
  </si>
  <si>
    <t>2*4,3</t>
  </si>
  <si>
    <t>PR19</t>
  </si>
  <si>
    <t>3*3,605</t>
  </si>
  <si>
    <t>PR20</t>
  </si>
  <si>
    <t>Dodatečné osazení překladů z ocelových nosníků</t>
  </si>
  <si>
    <t>59</t>
  </si>
  <si>
    <t>413941121RU3</t>
  </si>
  <si>
    <t>Osazení válcovaných nosníků ve stropech do č. 12</t>
  </si>
  <si>
    <t>včetně dodávky profilu U č. 12</t>
  </si>
  <si>
    <t>13,43/1000</t>
  </si>
  <si>
    <t>nosník U120 dodávka a montáž</t>
  </si>
  <si>
    <t>60</t>
  </si>
  <si>
    <t>411354255R00</t>
  </si>
  <si>
    <t>Bednění stropů zabudované z ocelových trapézových plechů pozinkovaných vlna 50 mm tl. 0,8 mm</t>
  </si>
  <si>
    <t>CF02</t>
  </si>
  <si>
    <t>Schodiště</t>
  </si>
  <si>
    <t>61</t>
  </si>
  <si>
    <t>R430320110RA0</t>
  </si>
  <si>
    <t>Schodiště na terénu z prvků 300x160mm</t>
  </si>
  <si>
    <t>m DVČ</t>
  </si>
  <si>
    <t>43_</t>
  </si>
  <si>
    <t xml:space="preserve">do zavlhlého betonu, dodávka a montáž skladba F06
</t>
  </si>
  <si>
    <t>1,8</t>
  </si>
  <si>
    <t>Podkladní vrstvy komunikací, letišť a ploch</t>
  </si>
  <si>
    <t>62</t>
  </si>
  <si>
    <t>564831111RT2</t>
  </si>
  <si>
    <t>Podklad ze štěrkodrti po zhutnění tloušťky 10 cm</t>
  </si>
  <si>
    <t>56_</t>
  </si>
  <si>
    <t>S01A_5_</t>
  </si>
  <si>
    <t>štěrkodrť frakce 0-32 mm</t>
  </si>
  <si>
    <t>venkovní zpevněná plocha skladba F05</t>
  </si>
  <si>
    <t>63</t>
  </si>
  <si>
    <t>279351102R00</t>
  </si>
  <si>
    <t>Bednění stěn základových zdí, jednostranné - odstranění</t>
  </si>
  <si>
    <t>(23+2,1)*0,8</t>
  </si>
  <si>
    <t>64</t>
  </si>
  <si>
    <t>279351101R00</t>
  </si>
  <si>
    <t>Bednění stěn základových zdí, jednostranné - zřízení</t>
  </si>
  <si>
    <t>65</t>
  </si>
  <si>
    <t>279361921RT4</t>
  </si>
  <si>
    <t>Výztuž základových zdí ze svařovaných sítí</t>
  </si>
  <si>
    <t>(24*26,64)/1000</t>
  </si>
  <si>
    <t>výztuž venkovní plochy</t>
  </si>
  <si>
    <t>(3*26,64)/1000</t>
  </si>
  <si>
    <t>výztuž pro schody</t>
  </si>
  <si>
    <t>66</t>
  </si>
  <si>
    <t>50*0,2</t>
  </si>
  <si>
    <t>deska pochozí venkovní</t>
  </si>
  <si>
    <t>2*0,1</t>
  </si>
  <si>
    <t>deska pro schodiště</t>
  </si>
  <si>
    <t>67</t>
  </si>
  <si>
    <t>998224111R00</t>
  </si>
  <si>
    <t>Přesun hmot, pozemní komunikace, kryt betonový</t>
  </si>
  <si>
    <t>68</t>
  </si>
  <si>
    <t>564791111R00</t>
  </si>
  <si>
    <t>Podklad pro zpevněné plochy z kam.drceného 0-63 mm</t>
  </si>
  <si>
    <t>2,9</t>
  </si>
  <si>
    <t>Kryty pozemních komunikací, letišť a ploch z kameniva nebo živičné</t>
  </si>
  <si>
    <t>69</t>
  </si>
  <si>
    <t>577112114R00</t>
  </si>
  <si>
    <t>Beton asfalt. ACO 11 S modifik. š. do 3 m, tl.5 cm</t>
  </si>
  <si>
    <t>57_</t>
  </si>
  <si>
    <t>25,80*2</t>
  </si>
  <si>
    <t>stání</t>
  </si>
  <si>
    <t>Úprava povrchů vnitřní</t>
  </si>
  <si>
    <t>70</t>
  </si>
  <si>
    <t>611401311RT2</t>
  </si>
  <si>
    <t>Oprava omítky na stropech o ploše do 1 m2</t>
  </si>
  <si>
    <t>61_</t>
  </si>
  <si>
    <t>S01A_6_</t>
  </si>
  <si>
    <t>vápennou štukovou omítkou</t>
  </si>
  <si>
    <t>oprva omítky po vybourání klenby pro střešní okna</t>
  </si>
  <si>
    <t>71</t>
  </si>
  <si>
    <t>612481211RT2</t>
  </si>
  <si>
    <t>Montáž výztužné sítě (perlinky) do stěrky - vnitřní stěny</t>
  </si>
  <si>
    <t>včetně výztužné sítě a stěrkového tmelu Baumit</t>
  </si>
  <si>
    <t>680</t>
  </si>
  <si>
    <t>350</t>
  </si>
  <si>
    <t>vyrovnávka pod obklady</t>
  </si>
  <si>
    <t>omítka dodatek</t>
  </si>
  <si>
    <t>72</t>
  </si>
  <si>
    <t>612474410R00</t>
  </si>
  <si>
    <t>Omítka stěn vnitřní tenkovrstvá vápenná - štuk</t>
  </si>
  <si>
    <t>1100</t>
  </si>
  <si>
    <t>73</t>
  </si>
  <si>
    <t>612474611RT2</t>
  </si>
  <si>
    <t>Omítka stěn vnitřní, VPC jádro, vápen.štuk, ručně</t>
  </si>
  <si>
    <t>na pálené cihly a tvarovky - nové zdivo</t>
  </si>
  <si>
    <t>80</t>
  </si>
  <si>
    <t>Úprava povrchů vnější</t>
  </si>
  <si>
    <t>74</t>
  </si>
  <si>
    <t>622311016R00</t>
  </si>
  <si>
    <t>Soklová lišta hliníková pro kontaktní zateplovací systém  tl. 160 mm</t>
  </si>
  <si>
    <t>62_</t>
  </si>
  <si>
    <t>38,20</t>
  </si>
  <si>
    <t>lkzs - dodávka a montáž</t>
  </si>
  <si>
    <t>75</t>
  </si>
  <si>
    <t>622311735RT3</t>
  </si>
  <si>
    <t>Zateplovací systém, fasáda, minerální desky KV, tl. 160 mm</t>
  </si>
  <si>
    <t>s omítkou Silikonsilikátovou zr. 2,0m, lepidlo systémové</t>
  </si>
  <si>
    <t>14,6*5,1</t>
  </si>
  <si>
    <t>fasáda přední část</t>
  </si>
  <si>
    <t>-2,285*0,65</t>
  </si>
  <si>
    <t>-1,99*0,65</t>
  </si>
  <si>
    <t>16,8*5,2</t>
  </si>
  <si>
    <t>dvorní část</t>
  </si>
  <si>
    <t>7,1*8</t>
  </si>
  <si>
    <t>zateplení výtahové šachty</t>
  </si>
  <si>
    <t>76</t>
  </si>
  <si>
    <t>622311523RU1</t>
  </si>
  <si>
    <t>Zateplovací systém, sokl, XPS, tl. 120 mm</t>
  </si>
  <si>
    <t>s mozaikovou omítkou 5,5 kg/m2</t>
  </si>
  <si>
    <t>(2,5+2,5+2,5)*0,5</t>
  </si>
  <si>
    <t>77</t>
  </si>
  <si>
    <t>622311513R00</t>
  </si>
  <si>
    <t>Izolace suterénu XPS tl. 120 mm, bez povrchové úpravy</t>
  </si>
  <si>
    <t>(2,5+2,5+2,5)*1</t>
  </si>
  <si>
    <t>78</t>
  </si>
  <si>
    <t>622311133RT3</t>
  </si>
  <si>
    <t>Zateplovací systém, fasáda, EPS F, tl. 120 mm</t>
  </si>
  <si>
    <t>s omítkou Silikonsilikát2, lepidlo</t>
  </si>
  <si>
    <t>1,3</t>
  </si>
  <si>
    <t>podhled - dostavba stropu nad 1np CF02</t>
  </si>
  <si>
    <t>79</t>
  </si>
  <si>
    <t>073222112RBB</t>
  </si>
  <si>
    <t>Ostění a nadpraží v ETICS z MW</t>
  </si>
  <si>
    <t>(0,8+1,9+1,9)*9</t>
  </si>
  <si>
    <t>úporava ostění oken</t>
  </si>
  <si>
    <t>1,72+0,65+0,65</t>
  </si>
  <si>
    <t>2,285+0,65+0,65</t>
  </si>
  <si>
    <t>1,85+0,65+0,65</t>
  </si>
  <si>
    <t>0,72+0,65+0,65</t>
  </si>
  <si>
    <t>0,785+0,65+0,65</t>
  </si>
  <si>
    <t>1,99+0,65+0,65</t>
  </si>
  <si>
    <t>1,895+0,65+0,65</t>
  </si>
  <si>
    <t>622473187RT2</t>
  </si>
  <si>
    <t>Příplatek za okenní lištu (APU) - montáž</t>
  </si>
  <si>
    <t>včetně dodávky lišty</t>
  </si>
  <si>
    <t>81</t>
  </si>
  <si>
    <t>622476334RT1</t>
  </si>
  <si>
    <t>Omítka vnější silikátová, 3.vrst., slož.3</t>
  </si>
  <si>
    <t>postřik, jádrová omítka, penetrace, silikát.omítka</t>
  </si>
  <si>
    <t>oprava omítke, dozdfívky</t>
  </si>
  <si>
    <t>Podlahy a podlahové konstrukce</t>
  </si>
  <si>
    <t>82</t>
  </si>
  <si>
    <t>632416250R00</t>
  </si>
  <si>
    <t>Potěr betonový, tl. 50 mm</t>
  </si>
  <si>
    <t>63_</t>
  </si>
  <si>
    <t>68,4</t>
  </si>
  <si>
    <t>1,2*1,0</t>
  </si>
  <si>
    <t>podlaha vodoměrná šachta</t>
  </si>
  <si>
    <t>226,80</t>
  </si>
  <si>
    <t>podlaha F07</t>
  </si>
  <si>
    <t>106</t>
  </si>
  <si>
    <t>podlaha F08</t>
  </si>
  <si>
    <t>110</t>
  </si>
  <si>
    <t>podlaha F09</t>
  </si>
  <si>
    <t>83</t>
  </si>
  <si>
    <t>273361921R00</t>
  </si>
  <si>
    <t>0,114</t>
  </si>
  <si>
    <t>kari síť do potěru 4/150/150 s prořezem</t>
  </si>
  <si>
    <t>(40*8,12)/1000</t>
  </si>
  <si>
    <t>kari síť potěr F03</t>
  </si>
  <si>
    <t>(5*8,12)/1000</t>
  </si>
  <si>
    <t>kari síť potěr F07</t>
  </si>
  <si>
    <t>(19*8,12)/1000</t>
  </si>
  <si>
    <t>kari síť potěr F08</t>
  </si>
  <si>
    <t>(20*8,12)/1000</t>
  </si>
  <si>
    <t>kari síť potěr F09</t>
  </si>
  <si>
    <t>(1*8,12)/1000</t>
  </si>
  <si>
    <t>kari síť CF02</t>
  </si>
  <si>
    <t>84</t>
  </si>
  <si>
    <t>632413120R00</t>
  </si>
  <si>
    <t>Potěr, ruční zpracování, tl. 20 mm</t>
  </si>
  <si>
    <t>113,65</t>
  </si>
  <si>
    <t>f02 m139 - 140 NIVELAČNÍ STĚRKA</t>
  </si>
  <si>
    <t>F09</t>
  </si>
  <si>
    <t>85</t>
  </si>
  <si>
    <t>632421401R00</t>
  </si>
  <si>
    <t>Provedení penetrace podkladu</t>
  </si>
  <si>
    <t>Skladba F02</t>
  </si>
  <si>
    <t>skaldba F08</t>
  </si>
  <si>
    <t>86</t>
  </si>
  <si>
    <t>631343531R00</t>
  </si>
  <si>
    <t>Mazanina z betonu keramzitového LC 8/9</t>
  </si>
  <si>
    <t>19*0,18</t>
  </si>
  <si>
    <t>skladba F07 vyrovnávka 60-210mm</t>
  </si>
  <si>
    <t>Výplně otvorů</t>
  </si>
  <si>
    <t>87</t>
  </si>
  <si>
    <t>RDI16</t>
  </si>
  <si>
    <t>Dodávka a montáž hliníková sestava dveří DI16 dle výpisu dveří</t>
  </si>
  <si>
    <t>64_</t>
  </si>
  <si>
    <t>dodávka, montáž</t>
  </si>
  <si>
    <t>88</t>
  </si>
  <si>
    <t>RDI17</t>
  </si>
  <si>
    <t>Dodávka a montáž hliníková sestava dveří DI17 dle výpisu dveří</t>
  </si>
  <si>
    <t>89</t>
  </si>
  <si>
    <t>070212107RA0</t>
  </si>
  <si>
    <t>Dveře vnitřní dřevěné šířky 700 mm, ocelová zárubeň do zdiva, kování, přechodová lišta</t>
  </si>
  <si>
    <t>dveře vnitřní dle výpisu vnitřních dveří, dodávka a montáž</t>
  </si>
  <si>
    <t>DI09</t>
  </si>
  <si>
    <t>DI10</t>
  </si>
  <si>
    <t>90</t>
  </si>
  <si>
    <t>070212109RA0</t>
  </si>
  <si>
    <t>Dveře vnitřní dřevěné šířky 900 mm, ocelová zárubeň do zdiva, kování, přechodová lišta</t>
  </si>
  <si>
    <t>DI06</t>
  </si>
  <si>
    <t>DI07</t>
  </si>
  <si>
    <t>DI08</t>
  </si>
  <si>
    <t>DI11</t>
  </si>
  <si>
    <t>DI14</t>
  </si>
  <si>
    <t>DI15</t>
  </si>
  <si>
    <t>91</t>
  </si>
  <si>
    <t>070212108RA0</t>
  </si>
  <si>
    <t>Dveře vnitřní dřevěné šířky 800 mm, ocelová zárubeň do zdiva, kování, přechodová lišta</t>
  </si>
  <si>
    <t>DI12</t>
  </si>
  <si>
    <t>DI13</t>
  </si>
  <si>
    <t>92</t>
  </si>
  <si>
    <t>070212159RA0</t>
  </si>
  <si>
    <t>Dveře vnitřní protipožární dřevěné šířky 900 mm, ocelová zárubeň do zdiva, kování, dřevěný práh</t>
  </si>
  <si>
    <t xml:space="preserve">dveře vnitřní dle výpisu vnitřních dveří, dodávka a montáž
</t>
  </si>
  <si>
    <t>DI01</t>
  </si>
  <si>
    <t>DI02</t>
  </si>
  <si>
    <t>DI03</t>
  </si>
  <si>
    <t>DI04</t>
  </si>
  <si>
    <t>DI05</t>
  </si>
  <si>
    <t>93</t>
  </si>
  <si>
    <t>RDM</t>
  </si>
  <si>
    <t>madlo ke dveřím, dodávka a montáž</t>
  </si>
  <si>
    <t>1+2+1+6+1</t>
  </si>
  <si>
    <t>711</t>
  </si>
  <si>
    <t>Izolace proti vodě</t>
  </si>
  <si>
    <t>94</t>
  </si>
  <si>
    <t>711130101R00</t>
  </si>
  <si>
    <t>Odstranění izolace proti vlhkosti na ploše vodorovné, asfaltové pásy na sucho, 1 vrstva</t>
  </si>
  <si>
    <t>711_</t>
  </si>
  <si>
    <t>S01A_71_</t>
  </si>
  <si>
    <t>62,4</t>
  </si>
  <si>
    <t>izolace podlahy bourání v 1np</t>
  </si>
  <si>
    <t>227</t>
  </si>
  <si>
    <t>izolace podlahy učebny v 1np</t>
  </si>
  <si>
    <t>95</t>
  </si>
  <si>
    <t>711141559RY1</t>
  </si>
  <si>
    <t>Provedení izolace proti vlhkosti na ploše vodorovné, asfaltovými pásy přitavením</t>
  </si>
  <si>
    <t xml:space="preserve">1 vrstva - včetně asfaltového pásu s nosnou vložkou ze sklenění tkaniny
</t>
  </si>
  <si>
    <t>podlaha 1np</t>
  </si>
  <si>
    <t>2,7</t>
  </si>
  <si>
    <t>vodoměrná šachta vodorovná</t>
  </si>
  <si>
    <t>2,5*2,5</t>
  </si>
  <si>
    <t>výtahová šachta</t>
  </si>
  <si>
    <t>226,8</t>
  </si>
  <si>
    <t>96</t>
  </si>
  <si>
    <t>711142559RY1</t>
  </si>
  <si>
    <t>Provedení izolace proti vlhkosti na ploše svislé, asfaltovými pásy přitavením</t>
  </si>
  <si>
    <t>1 vrstva - včetně dod. asfaltového pásu se skleněnou vložkou viz. TZ</t>
  </si>
  <si>
    <t>(1,2+1,2+1+1)*1,2</t>
  </si>
  <si>
    <t>svislá izolace vodměrná šachta</t>
  </si>
  <si>
    <t>(2,6+2,6+1,6+1,6)*1,5</t>
  </si>
  <si>
    <t>svislá izolace výtahová šachta</t>
  </si>
  <si>
    <t>97</t>
  </si>
  <si>
    <t>711111001RZ2</t>
  </si>
  <si>
    <t>Provedení izolace proti vlhkosti na ploše vodorovné, 1x asfaltovým penetračním nátěrem</t>
  </si>
  <si>
    <t>včetně dodávky asfaltového penetračního laku</t>
  </si>
  <si>
    <t>77,35*2</t>
  </si>
  <si>
    <t>podlaha F01 a šachta</t>
  </si>
  <si>
    <t>226,8*2</t>
  </si>
  <si>
    <t>98</t>
  </si>
  <si>
    <t>711112001RZ1</t>
  </si>
  <si>
    <t>Provedení izolace proti vlhkosti na ploše svislé, 1x asfaltovým penetračním nátěr</t>
  </si>
  <si>
    <t>včetně dodávky asfaltového laku</t>
  </si>
  <si>
    <t>17,88</t>
  </si>
  <si>
    <t>99</t>
  </si>
  <si>
    <t>711212002RT3</t>
  </si>
  <si>
    <t>Stěrka hydroizolační</t>
  </si>
  <si>
    <t>včetně dodávky, tl. 2 mm</t>
  </si>
  <si>
    <t>oprava stávající střechy - ochrana při stavbě</t>
  </si>
  <si>
    <t>100</t>
  </si>
  <si>
    <t>711823121RT7</t>
  </si>
  <si>
    <t>Montáž nopové fólie svisle</t>
  </si>
  <si>
    <t>včetně dodávky fólie</t>
  </si>
  <si>
    <t>101</t>
  </si>
  <si>
    <t>711823129RT4</t>
  </si>
  <si>
    <t>Montáž ukončovací lišty k nopové fólii</t>
  </si>
  <si>
    <t>2,5+2,5+2,5</t>
  </si>
  <si>
    <t>102</t>
  </si>
  <si>
    <t>711212000RU1</t>
  </si>
  <si>
    <t>Penetrace podkladu pod hydroizolační hmoty</t>
  </si>
  <si>
    <t>včetně dodávky</t>
  </si>
  <si>
    <t>160</t>
  </si>
  <si>
    <t>103</t>
  </si>
  <si>
    <t>711212001RT2</t>
  </si>
  <si>
    <t>Nátěr hydroizolační</t>
  </si>
  <si>
    <t xml:space="preserve">včetně dodávky 
</t>
  </si>
  <si>
    <t>104</t>
  </si>
  <si>
    <t>711212601RT2</t>
  </si>
  <si>
    <t>Utěsnění detailů při stěrkových hydroizolacích, těsnicí pás do spoje podlaha - stěna</t>
  </si>
  <si>
    <t>šířka 100 mm</t>
  </si>
  <si>
    <t>2,3+2,3+2,8+2,8-0,8</t>
  </si>
  <si>
    <t>2,3+1,1+2,3+1,1-0,8-0,8</t>
  </si>
  <si>
    <t>1,6+1,6+1,1+1,1-0,8</t>
  </si>
  <si>
    <t>1,9+1,9+1,5+1,5-0,8</t>
  </si>
  <si>
    <t>12+4,2+4,9+2,6+3+1,6-0,8-0,8-0,8</t>
  </si>
  <si>
    <t>4,1+1,2+1,9+1,4+2,2+2,8-0,8-0,9</t>
  </si>
  <si>
    <t>4,4+4,4+2+2-0,9-0,9</t>
  </si>
  <si>
    <t>3,8+3,8+2+2-0,9-0,9</t>
  </si>
  <si>
    <t>3,8+3,8+3,6+3,6-0,9</t>
  </si>
  <si>
    <t>3,7+3,6+1,9+1,9+2,2-0,9</t>
  </si>
  <si>
    <t>1,5+1,7+1,5+1,7-0,7</t>
  </si>
  <si>
    <t>3,8+3,8+2+2-0,9-0,9-0,7</t>
  </si>
  <si>
    <t>105</t>
  </si>
  <si>
    <t>711212611RT2</t>
  </si>
  <si>
    <t>Utěsnění detailů při stěrkových hydroizolacích, těsnicí pás do svislých koutů</t>
  </si>
  <si>
    <t xml:space="preserve">šířka 100 mm
</t>
  </si>
  <si>
    <t>711212602RT2</t>
  </si>
  <si>
    <t>Utěsnění detailů při stěrkových hydroizolacích, těsnicí roh vnější, vnitřní do spoje podlaha-stěna</t>
  </si>
  <si>
    <t>vnější, vnitřní roh</t>
  </si>
  <si>
    <t>18+42</t>
  </si>
  <si>
    <t>107</t>
  </si>
  <si>
    <t>998711102R00</t>
  </si>
  <si>
    <t>Přesun hmot pro izolace proti vodě, výšky do 12 m</t>
  </si>
  <si>
    <t>712</t>
  </si>
  <si>
    <t>Izolace střech (živičné krytiny)</t>
  </si>
  <si>
    <t>108</t>
  </si>
  <si>
    <t>712300832RT2</t>
  </si>
  <si>
    <t>Odstranění povlakové krytiny střech do 10° , 2 vrstvy</t>
  </si>
  <si>
    <t>712_</t>
  </si>
  <si>
    <t>z ploch jednotlivě do 10 - 20 m2</t>
  </si>
  <si>
    <t>140</t>
  </si>
  <si>
    <t>II.část až po dokončení dle TZ - střecha spojovací chodby</t>
  </si>
  <si>
    <t>stříška vstup</t>
  </si>
  <si>
    <t>109</t>
  </si>
  <si>
    <t>712600832RT1</t>
  </si>
  <si>
    <t>Odstranění povlakové krytiny střech nad 30°, 2 vrstvy</t>
  </si>
  <si>
    <t>z ploch jednotlivě do 10 m2</t>
  </si>
  <si>
    <t>demontáž asfaltové šindele</t>
  </si>
  <si>
    <t>vybourání prostupu pro střešní okna</t>
  </si>
  <si>
    <t>712311101RZ1</t>
  </si>
  <si>
    <t>Provedení povlakové krytiny střech do 10°, asfaltovým penetračním nátěrem</t>
  </si>
  <si>
    <t>1x nátěr - včetně dodávky asfaltového penetračního nátěru</t>
  </si>
  <si>
    <t>150+23,60+10,90</t>
  </si>
  <si>
    <t>střecha a atika</t>
  </si>
  <si>
    <t>111</t>
  </si>
  <si>
    <t>712341559RZ3</t>
  </si>
  <si>
    <t>Provedení povlakové krytiny střech do 10°, asfaltovými pásy, přitavení celoplošně</t>
  </si>
  <si>
    <t>1 vrstva - včetně dodávky Bitagit S</t>
  </si>
  <si>
    <t>(150+23,60+10,90)*1,1</t>
  </si>
  <si>
    <t>asfaltový pás podkladní</t>
  </si>
  <si>
    <t>112</t>
  </si>
  <si>
    <t>712391171RZ7</t>
  </si>
  <si>
    <t>Položení podkladní textilie na střechách do 10°</t>
  </si>
  <si>
    <t xml:space="preserve">1 vrstva - včetně dodávky textilie 
</t>
  </si>
  <si>
    <t>187,20*1,05</t>
  </si>
  <si>
    <t>113</t>
  </si>
  <si>
    <t>712372111RU3</t>
  </si>
  <si>
    <t>Provedení povlakové krytiny střech do 10°, fólií kotvenou do betonového podkladu, 4 kotvy/m2</t>
  </si>
  <si>
    <t>pro tloušťku tepelné izolace do 250 mm, včetně dodávky fólie tl. 1,5 mm</t>
  </si>
  <si>
    <t>150+26,30+10,9</t>
  </si>
  <si>
    <t>kotvení je předpokládáno v průměrné tloušťce</t>
  </si>
  <si>
    <t>114</t>
  </si>
  <si>
    <t>712378004R00</t>
  </si>
  <si>
    <t>Závětrná lišta poplastovaný plech rš 250 mm</t>
  </si>
  <si>
    <t>47,90</t>
  </si>
  <si>
    <t>KPP01</t>
  </si>
  <si>
    <t>115</t>
  </si>
  <si>
    <t>712378006R00</t>
  </si>
  <si>
    <t>Rohová lišta vnější poplastovaný plech rš 100 mm</t>
  </si>
  <si>
    <t>KPP02</t>
  </si>
  <si>
    <t>116</t>
  </si>
  <si>
    <t>712378009R00</t>
  </si>
  <si>
    <t>Rohová lišta vnitřní poplastovaný plech rš 130 mm</t>
  </si>
  <si>
    <t>75,40</t>
  </si>
  <si>
    <t>KPP03</t>
  </si>
  <si>
    <t>117</t>
  </si>
  <si>
    <t>48,80</t>
  </si>
  <si>
    <t>KPP04</t>
  </si>
  <si>
    <t>118</t>
  </si>
  <si>
    <t>712378005R00</t>
  </si>
  <si>
    <t>Stěnová lišta vyhnutá poplastovaný plech rš 100 mm</t>
  </si>
  <si>
    <t>29,50</t>
  </si>
  <si>
    <t>KPP05</t>
  </si>
  <si>
    <t>119</t>
  </si>
  <si>
    <t>R27344357</t>
  </si>
  <si>
    <t>Prostupová manžeta odvětrání VZT D210, dodávka a montáž</t>
  </si>
  <si>
    <t>prs05</t>
  </si>
  <si>
    <t>120</t>
  </si>
  <si>
    <t>R27344358</t>
  </si>
  <si>
    <t>Prostupová manžeta odvětrání VZT D340, dodávka a montáž</t>
  </si>
  <si>
    <t>prs04</t>
  </si>
  <si>
    <t>121</t>
  </si>
  <si>
    <t>r27344360</t>
  </si>
  <si>
    <t>Prostupová manžeta odvětrání kanalizace D100, dodávka a montáž</t>
  </si>
  <si>
    <t>prs03</t>
  </si>
  <si>
    <t>122</t>
  </si>
  <si>
    <t>R27344361</t>
  </si>
  <si>
    <t>Prostupová manžeta odvětrání kanalizace D150, dodávka a montáž</t>
  </si>
  <si>
    <t>PRS02</t>
  </si>
  <si>
    <t>123</t>
  </si>
  <si>
    <t>R283483090</t>
  </si>
  <si>
    <t>Prostupová tvarovka s límce 250/250</t>
  </si>
  <si>
    <t>713</t>
  </si>
  <si>
    <t>Izolace tepelné</t>
  </si>
  <si>
    <t>124</t>
  </si>
  <si>
    <t>713101221R00</t>
  </si>
  <si>
    <t>Odstranění tepelné izolace stropů a podhledů, kotvené, z desek minerálních, tl. do 100 mm</t>
  </si>
  <si>
    <t>713_</t>
  </si>
  <si>
    <t>156</t>
  </si>
  <si>
    <t>odstranění tepelné izoalce střecha vazníky chodba</t>
  </si>
  <si>
    <t>125</t>
  </si>
  <si>
    <t>713121121RT1</t>
  </si>
  <si>
    <t>Montáž tepelné izolace podlah na sucho, dvouvrstvé</t>
  </si>
  <si>
    <t>materiál ve specifikaci</t>
  </si>
  <si>
    <t>podlaha 1np F01</t>
  </si>
  <si>
    <t>126</t>
  </si>
  <si>
    <t>28375462</t>
  </si>
  <si>
    <t>Deska izolační XPS, tl. 60 mm</t>
  </si>
  <si>
    <t>(68,4*1,05)*2</t>
  </si>
  <si>
    <t>podlahová deska izolace tepelná skladba F01</t>
  </si>
  <si>
    <t>127</t>
  </si>
  <si>
    <t>713521621R00</t>
  </si>
  <si>
    <t>Protipožární obklad ocelových nosníků, požární odolnost, třístranný</t>
  </si>
  <si>
    <t>18+15</t>
  </si>
  <si>
    <t>8,5*8</t>
  </si>
  <si>
    <t>6,4*2</t>
  </si>
  <si>
    <t>6+8,6+6+4,5</t>
  </si>
  <si>
    <t>128</t>
  </si>
  <si>
    <t>713521522R00</t>
  </si>
  <si>
    <t>Protipožární obklad sloupků, požární odolnost, čtyřstranný</t>
  </si>
  <si>
    <t>7*3,2</t>
  </si>
  <si>
    <t>129</t>
  </si>
  <si>
    <t>713141151R00</t>
  </si>
  <si>
    <t>Montáž tepelné izolace střech, kladená na sucho, 1 vrstva</t>
  </si>
  <si>
    <t>150*3</t>
  </si>
  <si>
    <t>eps 3 vrstvy</t>
  </si>
  <si>
    <t>23,60+10,90</t>
  </si>
  <si>
    <t>atika</t>
  </si>
  <si>
    <t>130</t>
  </si>
  <si>
    <t>28376309</t>
  </si>
  <si>
    <t>Deska izolační EPS 100 S, spádové klíny 30-270mm</t>
  </si>
  <si>
    <t>150*1,05</t>
  </si>
  <si>
    <t>131</t>
  </si>
  <si>
    <t>28376299.A</t>
  </si>
  <si>
    <t>Deska izolační EPS 100 S, podlahový tl. 70 mm</t>
  </si>
  <si>
    <t>střecha</t>
  </si>
  <si>
    <t>druhá vrstva</t>
  </si>
  <si>
    <t>132</t>
  </si>
  <si>
    <t>28376304</t>
  </si>
  <si>
    <t>Deska izolační EPS 100 S, podlahový tl. 80 mm</t>
  </si>
  <si>
    <t>5*2</t>
  </si>
  <si>
    <t>na výtahem 2 vrstvy</t>
  </si>
  <si>
    <t>133</t>
  </si>
  <si>
    <t>Deska izolační XPS, tl. 80 mm</t>
  </si>
  <si>
    <t>10,90*1,05</t>
  </si>
  <si>
    <t>xps atika</t>
  </si>
  <si>
    <t>134</t>
  </si>
  <si>
    <t>28376298</t>
  </si>
  <si>
    <t>Deska izolační XPS, tl. 50 mm</t>
  </si>
  <si>
    <t>23,60*1,05</t>
  </si>
  <si>
    <t>XPS atika</t>
  </si>
  <si>
    <t>135</t>
  </si>
  <si>
    <t>713141717R00</t>
  </si>
  <si>
    <t>Montáž spádových klínů plochých střech, 2 kotva/ m2 - přichycení</t>
  </si>
  <si>
    <t>150+10,90</t>
  </si>
  <si>
    <t>2 kotvy na m2 dle PD, přichycení eps před finální konstrukcí</t>
  </si>
  <si>
    <t>136</t>
  </si>
  <si>
    <t>713121111RT1</t>
  </si>
  <si>
    <t>Montáž tepelné nebo kročejové izolace podlah na sucho, jednovrstvé</t>
  </si>
  <si>
    <t>19+110+2</t>
  </si>
  <si>
    <t>137</t>
  </si>
  <si>
    <t>283754611</t>
  </si>
  <si>
    <t>Deska izolační XPS , tl. 30 mm</t>
  </si>
  <si>
    <t>19*1,05</t>
  </si>
  <si>
    <t>Skladba F07</t>
  </si>
  <si>
    <t>110*1,05</t>
  </si>
  <si>
    <t>Skladba F09</t>
  </si>
  <si>
    <t>2*1,05</t>
  </si>
  <si>
    <t>Skladba CF02</t>
  </si>
  <si>
    <t>138</t>
  </si>
  <si>
    <t>713111211RK6</t>
  </si>
  <si>
    <t>Montáž parozábrany, krovů spodem s přelepením spojů</t>
  </si>
  <si>
    <t>N AL170 speciál</t>
  </si>
  <si>
    <t>139</t>
  </si>
  <si>
    <t>713191221R00</t>
  </si>
  <si>
    <t>Dilatační pásek podél stěn výšky 100 mm včetně dodávky</t>
  </si>
  <si>
    <t>700</t>
  </si>
  <si>
    <t>998713102R00</t>
  </si>
  <si>
    <t>Přesun hmot pro izolace tepelné, výšky do 12 m</t>
  </si>
  <si>
    <t>721</t>
  </si>
  <si>
    <t>Vnitřní kanalizace</t>
  </si>
  <si>
    <t>141</t>
  </si>
  <si>
    <t>721234143RT3</t>
  </si>
  <si>
    <t>Vtok střešní HL63 DrainBox pro plochou střechu</t>
  </si>
  <si>
    <t>721_</t>
  </si>
  <si>
    <t>S01A_72_</t>
  </si>
  <si>
    <t>s PVC izolační přirubou, D 75, 110, 125 mm</t>
  </si>
  <si>
    <t>722</t>
  </si>
  <si>
    <t>Vnitřní vodovod</t>
  </si>
  <si>
    <t>142</t>
  </si>
  <si>
    <t>722254201RT4</t>
  </si>
  <si>
    <t>Hydrantový systém, vestavěná skříň s plnými dveřmi</t>
  </si>
  <si>
    <t>722_</t>
  </si>
  <si>
    <t xml:space="preserve">průměr 19/30 mm, stálotvará hadice , dodávka a montáž
</t>
  </si>
  <si>
    <t>725</t>
  </si>
  <si>
    <t>Zařizovací předměty</t>
  </si>
  <si>
    <t>143</t>
  </si>
  <si>
    <t>725110814R00</t>
  </si>
  <si>
    <t>Demontáž klozetů kombinovaných</t>
  </si>
  <si>
    <t>soubor</t>
  </si>
  <si>
    <t>725_</t>
  </si>
  <si>
    <t>1NP</t>
  </si>
  <si>
    <t>2NP</t>
  </si>
  <si>
    <t>144</t>
  </si>
  <si>
    <t>725130811R00</t>
  </si>
  <si>
    <t>Demontáž pisoárové nádrže + 1 stání</t>
  </si>
  <si>
    <t>145</t>
  </si>
  <si>
    <t>725210821R00</t>
  </si>
  <si>
    <t>Demontáž umyvadel bez výtokových armatur</t>
  </si>
  <si>
    <t>146</t>
  </si>
  <si>
    <t>725210982R00</t>
  </si>
  <si>
    <t>Odmontování zápachové uzávěrky</t>
  </si>
  <si>
    <t>147</t>
  </si>
  <si>
    <t>725810812R00</t>
  </si>
  <si>
    <t>Demontáž ventilu výtokového stojánkového</t>
  </si>
  <si>
    <t>148</t>
  </si>
  <si>
    <t>725291142R00</t>
  </si>
  <si>
    <t>Madlo dvojité pevné nerez Novaservis dl. 844 mm</t>
  </si>
  <si>
    <t>149</t>
  </si>
  <si>
    <t>725291146R00</t>
  </si>
  <si>
    <t>Madlo sklopné nerez dl. 700 mm</t>
  </si>
  <si>
    <t>150</t>
  </si>
  <si>
    <t>725291141R00</t>
  </si>
  <si>
    <t>Madlo svislé nerez dl. 500 mm</t>
  </si>
  <si>
    <t>762</t>
  </si>
  <si>
    <t>Konstrukce tesařské</t>
  </si>
  <si>
    <t>151</t>
  </si>
  <si>
    <t>762341811R00</t>
  </si>
  <si>
    <t>Demontáž bednění střech rovných z prken hrubých</t>
  </si>
  <si>
    <t>762_</t>
  </si>
  <si>
    <t>S01A_76_</t>
  </si>
  <si>
    <t>střecha - spojovací schodba</t>
  </si>
  <si>
    <t>27*2</t>
  </si>
  <si>
    <t>střecha 3np</t>
  </si>
  <si>
    <t>zakrácení střechy</t>
  </si>
  <si>
    <t>demontáž bednění pro nová střešní okna</t>
  </si>
  <si>
    <t>152</t>
  </si>
  <si>
    <t>762331811R00</t>
  </si>
  <si>
    <t>Demontáž konstrukcí krovů z hranolů do 120 cm2</t>
  </si>
  <si>
    <t>(5+3+3+2)*4</t>
  </si>
  <si>
    <t>demontáž sbíjených vazníků stříška vstup</t>
  </si>
  <si>
    <t>32*16</t>
  </si>
  <si>
    <t>demontáž sbíjených vazníků střecha chodba</t>
  </si>
  <si>
    <t>RR</t>
  </si>
  <si>
    <t>153</t>
  </si>
  <si>
    <t>762331813R00</t>
  </si>
  <si>
    <t>Demontáž konstrukcí krovů z hranolů do 288 cm2</t>
  </si>
  <si>
    <t>7*5</t>
  </si>
  <si>
    <t>demontáž trámů střecha 3np</t>
  </si>
  <si>
    <t>154</t>
  </si>
  <si>
    <t>762111811R00</t>
  </si>
  <si>
    <t>Demontáž stěn z hranolků, fošen nebo latí</t>
  </si>
  <si>
    <t>155</t>
  </si>
  <si>
    <t>762331921R00</t>
  </si>
  <si>
    <t>Vyřezání části střešní vazby do 224 cm2,do dl.3 m</t>
  </si>
  <si>
    <t>6*0,5</t>
  </si>
  <si>
    <t>zakrácení krokví střecha 3np</t>
  </si>
  <si>
    <t>762341922R00</t>
  </si>
  <si>
    <t>Vyřezání otvorů střech, v bednění pl. do 2 m2</t>
  </si>
  <si>
    <t>pro střešní okna vyřezání otvoru</t>
  </si>
  <si>
    <t>157</t>
  </si>
  <si>
    <t>762441112RT1</t>
  </si>
  <si>
    <t>Montáž obložení atiky z desek na bázi dřeva, 1 vrstva, šroubováním</t>
  </si>
  <si>
    <t>včetně dodávky desky - viz detail výkres D.1.1.3p)12</t>
  </si>
  <si>
    <t>158</t>
  </si>
  <si>
    <t>762343101R00</t>
  </si>
  <si>
    <t>Montáž roštu pro tepelnou izolaci</t>
  </si>
  <si>
    <t>4,5</t>
  </si>
  <si>
    <t>montáž latě 60/40mm</t>
  </si>
  <si>
    <t>159</t>
  </si>
  <si>
    <t>60510055</t>
  </si>
  <si>
    <t>Lať surová SM jakost I-II 40 x 60 mm</t>
  </si>
  <si>
    <t>762841933RV1</t>
  </si>
  <si>
    <t>Zabednění otvorů v podbíjení plochy do 2 m2</t>
  </si>
  <si>
    <t>bez dodávky řeziva</t>
  </si>
  <si>
    <t>skladba SF03</t>
  </si>
  <si>
    <t>161</t>
  </si>
  <si>
    <t>60726146</t>
  </si>
  <si>
    <t>Deska dřevoštěpková OSB 4, nebroušená 4PD tl. 25 mm</t>
  </si>
  <si>
    <t>162</t>
  </si>
  <si>
    <t>762333120RT2</t>
  </si>
  <si>
    <t>Montáž vázaných krovů nepravidelných do 224 cm2</t>
  </si>
  <si>
    <t>včetně dodávky řeziva, KVH hranoly 80/185mm</t>
  </si>
  <si>
    <t>67,6</t>
  </si>
  <si>
    <t>KVH01</t>
  </si>
  <si>
    <t>163</t>
  </si>
  <si>
    <t>762333110RT4</t>
  </si>
  <si>
    <t>Montáž vázaných krovů nepravidelných do 120 cm2</t>
  </si>
  <si>
    <t>včetně dodávky řeziva, KVH hranoly 80/80mm</t>
  </si>
  <si>
    <t>kvh2</t>
  </si>
  <si>
    <t>164</t>
  </si>
  <si>
    <t>762333110RT3</t>
  </si>
  <si>
    <t>včetně dodávky řeziva, fošny 80/140</t>
  </si>
  <si>
    <t>38,9</t>
  </si>
  <si>
    <t>kvh3</t>
  </si>
  <si>
    <t>165</t>
  </si>
  <si>
    <t>762431225R00</t>
  </si>
  <si>
    <t>Montáž obložení stěn OSB deskami</t>
  </si>
  <si>
    <t>12,6</t>
  </si>
  <si>
    <t>obložení vstupní stříška</t>
  </si>
  <si>
    <t>166</t>
  </si>
  <si>
    <t>12,6*1,1</t>
  </si>
  <si>
    <t>osb včetně prořezů - vstupní stříška</t>
  </si>
  <si>
    <t>167</t>
  </si>
  <si>
    <t>998762102R00</t>
  </si>
  <si>
    <t>Přesun hmot pro tesařské konstrukce, výšky do 12 m</t>
  </si>
  <si>
    <t>764</t>
  </si>
  <si>
    <t>Konstrukce klempířské</t>
  </si>
  <si>
    <t>168</t>
  </si>
  <si>
    <t>764311831RT1</t>
  </si>
  <si>
    <t>Demontáž krytiny, tabule 2 x 1 m, do 25 m2, do 45°</t>
  </si>
  <si>
    <t>764_</t>
  </si>
  <si>
    <t>z Pz plechu</t>
  </si>
  <si>
    <t>stříška spojovací krček</t>
  </si>
  <si>
    <t>169</t>
  </si>
  <si>
    <t>764391820R00</t>
  </si>
  <si>
    <t>OKO pro uchycení a zajištění osoby pro vstup na střechu</t>
  </si>
  <si>
    <t>kpl</t>
  </si>
  <si>
    <t>včetně montážního materiálu</t>
  </si>
  <si>
    <t>170</t>
  </si>
  <si>
    <t>764718301R00</t>
  </si>
  <si>
    <t>Oplechování parapetů z lakovaných Al plechů, rš 210 mm</t>
  </si>
  <si>
    <t xml:space="preserve">rš 160 (KAL 01)
</t>
  </si>
  <si>
    <t>44,60</t>
  </si>
  <si>
    <t>171</t>
  </si>
  <si>
    <t>764718302R00</t>
  </si>
  <si>
    <t>Oplechování parapetů z lakovaných Al plechů, rš 240 mm</t>
  </si>
  <si>
    <t xml:space="preserve">(KAL02)
</t>
  </si>
  <si>
    <t>172</t>
  </si>
  <si>
    <t>764292661RT3</t>
  </si>
  <si>
    <t>Oplechování okapní hrany z TiZn RHEINZINK</t>
  </si>
  <si>
    <t>plech prePATINA schiefergrau</t>
  </si>
  <si>
    <t>6,90</t>
  </si>
  <si>
    <t>KTZ01 - OKAPNÍ PLECH RŠ350</t>
  </si>
  <si>
    <t>,</t>
  </si>
  <si>
    <t>173</t>
  </si>
  <si>
    <t>764291420R00</t>
  </si>
  <si>
    <t>Závětrná lišta z Ti Zn plechu, rš 330 mm</t>
  </si>
  <si>
    <t>0,75</t>
  </si>
  <si>
    <t>KTZ03</t>
  </si>
  <si>
    <t>174</t>
  </si>
  <si>
    <t>764257401R00</t>
  </si>
  <si>
    <t>Žlaby z Ti Zn, rš 670, včetně háků dle PD</t>
  </si>
  <si>
    <t>6,9</t>
  </si>
  <si>
    <t>175</t>
  </si>
  <si>
    <t>764551603RT1</t>
  </si>
  <si>
    <t>Svod z Ti Zn, kruhový, D 100 mm</t>
  </si>
  <si>
    <t>včetně kolen a zděří</t>
  </si>
  <si>
    <t>10,50</t>
  </si>
  <si>
    <t>176</t>
  </si>
  <si>
    <t>764430220RT2</t>
  </si>
  <si>
    <t>Oplechování zdí z Pz plechu, rš 330 mm</t>
  </si>
  <si>
    <t>nalepení Enkolitem, oplechování atiky</t>
  </si>
  <si>
    <t>10,75</t>
  </si>
  <si>
    <t>opl01</t>
  </si>
  <si>
    <t>177</t>
  </si>
  <si>
    <t>764430310RT2</t>
  </si>
  <si>
    <t>Oplechování zdí včetně rohů z Al, rš do 250 mm</t>
  </si>
  <si>
    <t xml:space="preserve">nalepení Enkolitem, RŠ 80
</t>
  </si>
  <si>
    <t>9,65</t>
  </si>
  <si>
    <t>opl02</t>
  </si>
  <si>
    <t>178</t>
  </si>
  <si>
    <t>764430210RT2</t>
  </si>
  <si>
    <t>Oplechování zdí z Pz plechu, do rš 250 mm</t>
  </si>
  <si>
    <t xml:space="preserve">nalepení Enkolitem, RŠ80 a rš160
</t>
  </si>
  <si>
    <t>OPLECHOVÁNÍ ROHU OPL2</t>
  </si>
  <si>
    <t>opl5</t>
  </si>
  <si>
    <t>179</t>
  </si>
  <si>
    <t>764816420R00</t>
  </si>
  <si>
    <t>Okapnice z lakovaného Pz plechu, rš 200 mm</t>
  </si>
  <si>
    <t>9,10</t>
  </si>
  <si>
    <t>opl3</t>
  </si>
  <si>
    <t>180</t>
  </si>
  <si>
    <t>764774401R00</t>
  </si>
  <si>
    <t>Falc.krytina,v.8 m, svitky,š.500 mm,do 30°</t>
  </si>
  <si>
    <t>falce po 300mm - dle PD</t>
  </si>
  <si>
    <t>181</t>
  </si>
  <si>
    <t>764908101RT2</t>
  </si>
  <si>
    <t>Kotlík žlabový kónický,vel.žlabu 125 mm</t>
  </si>
  <si>
    <t>v ostatních barvách</t>
  </si>
  <si>
    <t>182</t>
  </si>
  <si>
    <t>R764908104RT2</t>
  </si>
  <si>
    <t>žlab podokapní půlkruhový R,velikost 80 mm</t>
  </si>
  <si>
    <t>v ostatních barvách,</t>
  </si>
  <si>
    <t>183</t>
  </si>
  <si>
    <t>764908109RT2</t>
  </si>
  <si>
    <t>odpadní trouby kruhové, D 100 mm</t>
  </si>
  <si>
    <t>v ostatních barvách, včetně kolen a zděří</t>
  </si>
  <si>
    <t>3,3</t>
  </si>
  <si>
    <t>opl7</t>
  </si>
  <si>
    <t>184</t>
  </si>
  <si>
    <t>764333220R00</t>
  </si>
  <si>
    <t>Lemování zdí na plochých střechách Pz, rš 250 mm</t>
  </si>
  <si>
    <t>krycí lišta OPL8</t>
  </si>
  <si>
    <t>185</t>
  </si>
  <si>
    <t>998764102R00</t>
  </si>
  <si>
    <t>Přesun hmot pro klempířské konstr., výšky do 12 m</t>
  </si>
  <si>
    <t>766</t>
  </si>
  <si>
    <t>Konstrukce truhlářské</t>
  </si>
  <si>
    <t>186</t>
  </si>
  <si>
    <t>766624813R00</t>
  </si>
  <si>
    <t>Demontáž střešního okna vel. do 780 x 1180 mm</t>
  </si>
  <si>
    <t>766_</t>
  </si>
  <si>
    <t>demontáž stávajících střešních oken</t>
  </si>
  <si>
    <t>187</t>
  </si>
  <si>
    <t>RO01</t>
  </si>
  <si>
    <t>Dodávka a montáž oken dle výpisu oken O01</t>
  </si>
  <si>
    <t>188</t>
  </si>
  <si>
    <t>RO02</t>
  </si>
  <si>
    <t>Dodávka a montáž oken dle výpisu oken O02</t>
  </si>
  <si>
    <t>189</t>
  </si>
  <si>
    <t>RO03</t>
  </si>
  <si>
    <t>Dodávka a montáž oken dle výpisu oken O03</t>
  </si>
  <si>
    <t>včetně dopravy</t>
  </si>
  <si>
    <t>190</t>
  </si>
  <si>
    <t>RO04</t>
  </si>
  <si>
    <t>Dodávka a montáž oken dle výpisu oken O04</t>
  </si>
  <si>
    <t>191</t>
  </si>
  <si>
    <t>RO05</t>
  </si>
  <si>
    <t>Dodávka a montáž oken dle výpisu oken O05</t>
  </si>
  <si>
    <t>192</t>
  </si>
  <si>
    <t>RO06</t>
  </si>
  <si>
    <t>Dodávka a montáž oken dle výpisu oken O06</t>
  </si>
  <si>
    <t>193</t>
  </si>
  <si>
    <t>RO07</t>
  </si>
  <si>
    <t>Dodávka a montáž oken dle výpisu oken O07</t>
  </si>
  <si>
    <t>194</t>
  </si>
  <si>
    <t>RO08</t>
  </si>
  <si>
    <t>Dodávka a montáž oken dle výpisu oken O08</t>
  </si>
  <si>
    <t>195</t>
  </si>
  <si>
    <t>RO09</t>
  </si>
  <si>
    <t>Dodávka a montáž oken dle výpisu oken O09</t>
  </si>
  <si>
    <t>196</t>
  </si>
  <si>
    <t>RO10</t>
  </si>
  <si>
    <t>Dodávka a montáž oken dle výpisu oken O10</t>
  </si>
  <si>
    <t>197</t>
  </si>
  <si>
    <t>RO11</t>
  </si>
  <si>
    <t>Dodávka a montáž oken dle výpisu oken O11</t>
  </si>
  <si>
    <t>198</t>
  </si>
  <si>
    <t>RO12</t>
  </si>
  <si>
    <t>Dodávka a montáž oken dle výpisu oken O12</t>
  </si>
  <si>
    <t>199</t>
  </si>
  <si>
    <t>RO13</t>
  </si>
  <si>
    <t>Dodávka a montáž oken dle výpisu oken O13</t>
  </si>
  <si>
    <t>200</t>
  </si>
  <si>
    <t>RO14</t>
  </si>
  <si>
    <t>Dodávka a montáž oken dle výpisu oken O14</t>
  </si>
  <si>
    <t>201</t>
  </si>
  <si>
    <t>RO15</t>
  </si>
  <si>
    <t>Dodávka a montáž oken dle výpisu oken O15</t>
  </si>
  <si>
    <t>včetně dopravy, střešní okna včetně ovládání, řídící jednotky speciffikace dle PD</t>
  </si>
  <si>
    <t>okno střešní včetně elektro napojení na řídící jednotku s čidly dle PD</t>
  </si>
  <si>
    <t>202</t>
  </si>
  <si>
    <t>RD01</t>
  </si>
  <si>
    <t>Dodávka a montáž vnější dveře dle výpisu D01</t>
  </si>
  <si>
    <t>Úprava dveří</t>
  </si>
  <si>
    <t>203</t>
  </si>
  <si>
    <t>RD02</t>
  </si>
  <si>
    <t>Dodávka a montáž vnější dveře dle výpisu D02</t>
  </si>
  <si>
    <t>dveře viz. specifikace</t>
  </si>
  <si>
    <t>204</t>
  </si>
  <si>
    <t>RD03</t>
  </si>
  <si>
    <t>Dodávka a montáž vnější dveře dle výpisu D03</t>
  </si>
  <si>
    <t>205</t>
  </si>
  <si>
    <t>RD04</t>
  </si>
  <si>
    <t>Dodávka a montáž vnější dveře dle výpisu D04</t>
  </si>
  <si>
    <t>206</t>
  </si>
  <si>
    <t>073111242RA0</t>
  </si>
  <si>
    <t>Vnitřní parapet, laminátová parapetní deska</t>
  </si>
  <si>
    <t>tl. 18mm šířky 150mm - PD01</t>
  </si>
  <si>
    <t>207</t>
  </si>
  <si>
    <t>073111242RA01</t>
  </si>
  <si>
    <t>3,2</t>
  </si>
  <si>
    <t>tl. 18mm; šířky 210mm, PD02</t>
  </si>
  <si>
    <t>208</t>
  </si>
  <si>
    <t>073111242RA02</t>
  </si>
  <si>
    <t>37,45</t>
  </si>
  <si>
    <t>tl. 18mm šířky 230mm - PD03</t>
  </si>
  <si>
    <t>209</t>
  </si>
  <si>
    <t>998766102R00</t>
  </si>
  <si>
    <t>Přesun hmot pro truhlářské konstr., výšky do 12 m</t>
  </si>
  <si>
    <t>767</t>
  </si>
  <si>
    <t>Konstrukce doplňkové stavební (zámečnické)</t>
  </si>
  <si>
    <t>210</t>
  </si>
  <si>
    <t>767995104R00</t>
  </si>
  <si>
    <t>Výroba a montáž kov. atypických konstr. do 50 kg</t>
  </si>
  <si>
    <t>kg</t>
  </si>
  <si>
    <t>767_</t>
  </si>
  <si>
    <t>L40 - L40/40/4 - pro vodměrnou šachtu</t>
  </si>
  <si>
    <t>PL4 - žebírkový krycí plech vodoměrná šachta</t>
  </si>
  <si>
    <t>211</t>
  </si>
  <si>
    <t>R7679</t>
  </si>
  <si>
    <t>Atypické ocelové konstrukce, ocelová konstrukce 2np</t>
  </si>
  <si>
    <t>Dle výkresu D.1.1.3.I)01 a D.1.1.3.I)02</t>
  </si>
  <si>
    <t>8350,50</t>
  </si>
  <si>
    <t>ocelová konstrukce včetně veškerých prací viz výkresová část</t>
  </si>
  <si>
    <t>212</t>
  </si>
  <si>
    <t>Atypické ocelové konstrukce, ocelová konstrukce doplnění</t>
  </si>
  <si>
    <t xml:space="preserve">Dle výkresu D.1.1.3.x)03 - doplnění
</t>
  </si>
  <si>
    <t>598,74</t>
  </si>
  <si>
    <t>213</t>
  </si>
  <si>
    <t>R767212111R00</t>
  </si>
  <si>
    <t>Dodávka a montáž schodů, zábradlí včetně podesty dle PD</t>
  </si>
  <si>
    <t>výkresy D.1.1.3p)04-10</t>
  </si>
  <si>
    <t>2125,05</t>
  </si>
  <si>
    <t>214</t>
  </si>
  <si>
    <t>767587211RT1</t>
  </si>
  <si>
    <t>Podhled minerální Knauf,vidit.kce,kazeta 600x600mm</t>
  </si>
  <si>
    <t>tl. 19 mm</t>
  </si>
  <si>
    <t>255</t>
  </si>
  <si>
    <t>240</t>
  </si>
  <si>
    <t>215</t>
  </si>
  <si>
    <t>767587211RT2</t>
  </si>
  <si>
    <t>dB Acoustic SK, tl. 30 mm</t>
  </si>
  <si>
    <t>230</t>
  </si>
  <si>
    <t>216</t>
  </si>
  <si>
    <t>R767211113R00</t>
  </si>
  <si>
    <t>Zábradlí Z1, dodávka a montáž dle PD</t>
  </si>
  <si>
    <t>Viz výkresD.1.13.p)10</t>
  </si>
  <si>
    <t>167,50</t>
  </si>
  <si>
    <t>217</t>
  </si>
  <si>
    <t>R767211111R00</t>
  </si>
  <si>
    <t>Dodávka a montáž záměčnické konstrukce Z2 a Z4</t>
  </si>
  <si>
    <t>dle PD viz. výkres D.1.1.3p)11</t>
  </si>
  <si>
    <t>533,53+31,89</t>
  </si>
  <si>
    <t>218</t>
  </si>
  <si>
    <t>767995106R00</t>
  </si>
  <si>
    <t>Výroba a montáž kov. atypických konstr. do 250 kg</t>
  </si>
  <si>
    <t>výroba a montáž ocelové konstrukce vstupní markýza, viz. výkres D.1.1.3P)01 - 03</t>
  </si>
  <si>
    <t>253,82</t>
  </si>
  <si>
    <t>219</t>
  </si>
  <si>
    <t>r767427431R00</t>
  </si>
  <si>
    <t>Provětr.fasáda,obkladové desky z vysokotlakého laminátu</t>
  </si>
  <si>
    <t>dodávka a montáž dle PD</t>
  </si>
  <si>
    <t>220</t>
  </si>
  <si>
    <t>767640118RA0</t>
  </si>
  <si>
    <t>Dveře protipožární jednokřídlové 900 x 1970 mm</t>
  </si>
  <si>
    <t>1+2+1+1+2</t>
  </si>
  <si>
    <t>221</t>
  </si>
  <si>
    <t>767640116RA0</t>
  </si>
  <si>
    <t>Dveře protipožární jednokřídlové 800 x 1970 mm</t>
  </si>
  <si>
    <t>222</t>
  </si>
  <si>
    <t>998767102R00</t>
  </si>
  <si>
    <t>Přesun hmot pro zámečnické konstr., výšky do 12 m</t>
  </si>
  <si>
    <t>771</t>
  </si>
  <si>
    <t>Podlahy z dlaždic</t>
  </si>
  <si>
    <t>223</t>
  </si>
  <si>
    <t>771101101R00</t>
  </si>
  <si>
    <t>Vysávání podlah prům.vysavačem pro pokládku dlažby</t>
  </si>
  <si>
    <t>771_</t>
  </si>
  <si>
    <t>S01A_77_</t>
  </si>
  <si>
    <t>178+250</t>
  </si>
  <si>
    <t>224</t>
  </si>
  <si>
    <t>771101210RT1</t>
  </si>
  <si>
    <t>Penetrace podkladu pod dlažby</t>
  </si>
  <si>
    <t>penetrační nátěr</t>
  </si>
  <si>
    <t>225</t>
  </si>
  <si>
    <t>771575113RT2</t>
  </si>
  <si>
    <t>Montáž podlah keram.,hladké, tmel, 30x60 cm</t>
  </si>
  <si>
    <t>lepidlo včetně spárovací hmoty</t>
  </si>
  <si>
    <t>250</t>
  </si>
  <si>
    <t>226</t>
  </si>
  <si>
    <t>R597642061</t>
  </si>
  <si>
    <t>Keramická dlažba dle PD a výběru zhotovitele</t>
  </si>
  <si>
    <t>23,4</t>
  </si>
  <si>
    <t>7,49+8,08+1,22+1,22+1,22+1,22+7,21+8,01+1,22+1,22+2,42+91+22,65</t>
  </si>
  <si>
    <t>177,58*0,1</t>
  </si>
  <si>
    <t>prořezy 10%</t>
  </si>
  <si>
    <t>250*1,1</t>
  </si>
  <si>
    <t>998771102R00</t>
  </si>
  <si>
    <t>Přesun hmot pro podlahy z dlaždic, výšky do 12 m</t>
  </si>
  <si>
    <t>228</t>
  </si>
  <si>
    <t>771990010RA0</t>
  </si>
  <si>
    <t>Vybourání keramické nebo teracové dlažby</t>
  </si>
  <si>
    <t>10+18+2,4+12+10+5+7</t>
  </si>
  <si>
    <t>776</t>
  </si>
  <si>
    <t>Podlahy povlakové</t>
  </si>
  <si>
    <t>229</t>
  </si>
  <si>
    <t>776401800RT1</t>
  </si>
  <si>
    <t>Demontáž soklíků nebo lišt, pryžových nebo z PVC</t>
  </si>
  <si>
    <t>776_</t>
  </si>
  <si>
    <t>odstranění a uložení na hromady</t>
  </si>
  <si>
    <t>7,2*8</t>
  </si>
  <si>
    <t>soklíky PVC učebny</t>
  </si>
  <si>
    <t>(8,75+8,75+8,75+5,7)*2</t>
  </si>
  <si>
    <t>776511820RT1</t>
  </si>
  <si>
    <t>Odstranění PVC a koberců lepených s podložkou</t>
  </si>
  <si>
    <t>z ploch nad 20 m2</t>
  </si>
  <si>
    <t>podlahy v učebnách</t>
  </si>
  <si>
    <t>231</t>
  </si>
  <si>
    <t>776101101R00</t>
  </si>
  <si>
    <t>Vysávání podlah prům.vysavačem pod povlak.podlahy</t>
  </si>
  <si>
    <t>231,8</t>
  </si>
  <si>
    <t>232</t>
  </si>
  <si>
    <t>776101115R00</t>
  </si>
  <si>
    <t>Vyrovnání podkladů samonivelační hmotou</t>
  </si>
  <si>
    <t>40,44+62,17+61,80+62,39</t>
  </si>
  <si>
    <t>233</t>
  </si>
  <si>
    <t>58581721.A</t>
  </si>
  <si>
    <t>Hmota samonivelační cementová</t>
  </si>
  <si>
    <t>226,8*10,2</t>
  </si>
  <si>
    <t>předpoklad v tl. 6mm</t>
  </si>
  <si>
    <t>5*10,2</t>
  </si>
  <si>
    <t>234</t>
  </si>
  <si>
    <t>776101121R00</t>
  </si>
  <si>
    <t>Provedení penetrace podkladu pod povlakové podlahové krytiny a samonivelační hmoty</t>
  </si>
  <si>
    <t>235</t>
  </si>
  <si>
    <t>776521100RT1</t>
  </si>
  <si>
    <t>Lepení povlakových podlah z pásů PVC na lepidlo</t>
  </si>
  <si>
    <t>pouze položení - PVC ve specifikaci</t>
  </si>
  <si>
    <t>236</t>
  </si>
  <si>
    <t>28416051</t>
  </si>
  <si>
    <t>Podlahovina vinylová, role, dle výběru investora a PD</t>
  </si>
  <si>
    <t>226,8*1,05</t>
  </si>
  <si>
    <t>5*1,05</t>
  </si>
  <si>
    <t>237</t>
  </si>
  <si>
    <t>776421100R00</t>
  </si>
  <si>
    <t>Lepení podlahových soklíků z PVC a vinylu</t>
  </si>
  <si>
    <t>238</t>
  </si>
  <si>
    <t>776421300R00</t>
  </si>
  <si>
    <t>Montáž fabionů k PVC podlahám do v.100 mm</t>
  </si>
  <si>
    <t>239</t>
  </si>
  <si>
    <t>283424022</t>
  </si>
  <si>
    <t>Lišta podlahová začišťovací s fabionem,</t>
  </si>
  <si>
    <t>998776102R00</t>
  </si>
  <si>
    <t>Přesun hmot pro podlahy povlakové, výšky do 12 m</t>
  </si>
  <si>
    <t>781</t>
  </si>
  <si>
    <t>Obklady (keramické)</t>
  </si>
  <si>
    <t>241</t>
  </si>
  <si>
    <t>781101210RT1</t>
  </si>
  <si>
    <t>Penetrace podkladu pod obklady</t>
  </si>
  <si>
    <t>781_</t>
  </si>
  <si>
    <t>S01A_78_</t>
  </si>
  <si>
    <t>340</t>
  </si>
  <si>
    <t>242</t>
  </si>
  <si>
    <t>781210141R00</t>
  </si>
  <si>
    <t>Obkládání stěn obkl. pórovin. do tmele do 330x600</t>
  </si>
  <si>
    <t>243</t>
  </si>
  <si>
    <t>ROBK</t>
  </si>
  <si>
    <t>Keramický obklad dle výběru investora</t>
  </si>
  <si>
    <t>340*1,1</t>
  </si>
  <si>
    <t>244</t>
  </si>
  <si>
    <t>998781102R00</t>
  </si>
  <si>
    <t>Přesun hmot pro obklady keramické, výšky do 12 m</t>
  </si>
  <si>
    <t>783</t>
  </si>
  <si>
    <t>Nátěry</t>
  </si>
  <si>
    <t>245</t>
  </si>
  <si>
    <t>783851223R00</t>
  </si>
  <si>
    <t>Nátěr epoxidový betonových podlah - nátěr dle PD</t>
  </si>
  <si>
    <t>783_</t>
  </si>
  <si>
    <t>Epoxidový nátěr z podlahové stěrny s chipsy včetně penetrace podkladu</t>
  </si>
  <si>
    <t>784</t>
  </si>
  <si>
    <t>Malby</t>
  </si>
  <si>
    <t>246</t>
  </si>
  <si>
    <t>784131101R00</t>
  </si>
  <si>
    <t>Penetrace podkladu nátěrem</t>
  </si>
  <si>
    <t>784_</t>
  </si>
  <si>
    <t>1900</t>
  </si>
  <si>
    <t>doplnění</t>
  </si>
  <si>
    <t>247</t>
  </si>
  <si>
    <t>784195412R00</t>
  </si>
  <si>
    <t>Malba, bílá, bez penetrace, 2 x</t>
  </si>
  <si>
    <t>787</t>
  </si>
  <si>
    <t>Zasklívání</t>
  </si>
  <si>
    <t>248</t>
  </si>
  <si>
    <t>787411126R00</t>
  </si>
  <si>
    <t>Komůrkový polykarbonát opál - desky, tl. 20 mm</t>
  </si>
  <si>
    <t>787_</t>
  </si>
  <si>
    <t>vstupní stříška</t>
  </si>
  <si>
    <t>249</t>
  </si>
  <si>
    <t>787411210R00</t>
  </si>
  <si>
    <t>Krycí a připojovací AL lišta pro komůr.PC, hranatá</t>
  </si>
  <si>
    <t>7*3</t>
  </si>
  <si>
    <t>Doplňující konstrukce a práce na pozemních komunikacích a zpevněných plochách</t>
  </si>
  <si>
    <t>917862111RT8</t>
  </si>
  <si>
    <t>Osazení stojatého obrubníku betonového, s boční opěrou, do lože z betonu C 12/15</t>
  </si>
  <si>
    <t>91_</t>
  </si>
  <si>
    <t>S01A_9_</t>
  </si>
  <si>
    <t>včetně obrubníku  100/15/30</t>
  </si>
  <si>
    <t>19,80</t>
  </si>
  <si>
    <t>251</t>
  </si>
  <si>
    <t>R21029</t>
  </si>
  <si>
    <t>Piktogram Invalidní vozík - stání</t>
  </si>
  <si>
    <t>Lešení a stavební výtahy</t>
  </si>
  <si>
    <t>252</t>
  </si>
  <si>
    <t>941955003R00</t>
  </si>
  <si>
    <t>Lešení lehké pomocné, výška podlahy do 2,5 m</t>
  </si>
  <si>
    <t>94_</t>
  </si>
  <si>
    <t>pomocné lešení bourací práce</t>
  </si>
  <si>
    <t>253</t>
  </si>
  <si>
    <t>941941031R00</t>
  </si>
  <si>
    <t>Montáž lešení lehkého řadového s podlahami, š. do 1 m, výšky do 10 m</t>
  </si>
  <si>
    <t>(14+21)*8</t>
  </si>
  <si>
    <t>254</t>
  </si>
  <si>
    <t>941941831R00</t>
  </si>
  <si>
    <t>Demontáž lešení lehkého řadového s podlahami, š. do 1 m, výšky do 10 m</t>
  </si>
  <si>
    <t>280</t>
  </si>
  <si>
    <t>941941291R00</t>
  </si>
  <si>
    <t>Příplatek za každý měsíc použití lešení k pol.1041</t>
  </si>
  <si>
    <t>Bourání konstrukcí</t>
  </si>
  <si>
    <t>256</t>
  </si>
  <si>
    <t>965042241RT5</t>
  </si>
  <si>
    <t>Bourání mazanin betonových tl. nad 10 cm, nad 4 m2</t>
  </si>
  <si>
    <t>96_</t>
  </si>
  <si>
    <t>pneumat. kladivo, tl. mazaniny 15 - 20 cm</t>
  </si>
  <si>
    <t>61*0,2</t>
  </si>
  <si>
    <t>vybourání betonu pochozí plocha venek</t>
  </si>
  <si>
    <t>62,4*0,15</t>
  </si>
  <si>
    <t>vybourání betonové mazaniny 1np</t>
  </si>
  <si>
    <t>227*0,15</t>
  </si>
  <si>
    <t>vybourání betonové mazaniny učebyn 1np</t>
  </si>
  <si>
    <t>140*0,2</t>
  </si>
  <si>
    <t>spádová vrstva sbíjené vazníky</t>
  </si>
  <si>
    <t>257</t>
  </si>
  <si>
    <t>965042141RT3</t>
  </si>
  <si>
    <t>Bourání mazanin betonových tl. 10 cm, nad 4 m2</t>
  </si>
  <si>
    <t>pneumat. kladivo, tl. mazaniny 5 - 8 cm</t>
  </si>
  <si>
    <t>4*0,08</t>
  </si>
  <si>
    <t>bourání zámkové dlažby vstup</t>
  </si>
  <si>
    <t>62,4*0,05</t>
  </si>
  <si>
    <t>bet. potěr podlahy 1NP</t>
  </si>
  <si>
    <t>112*0,05</t>
  </si>
  <si>
    <t>bet. potěr podlaha 112 a 130</t>
  </si>
  <si>
    <t>227*0,05</t>
  </si>
  <si>
    <t>bet. potěr 1NP učebny</t>
  </si>
  <si>
    <t>17,5*0,05</t>
  </si>
  <si>
    <t>bet. potěr wc 2np</t>
  </si>
  <si>
    <t>106*0,05</t>
  </si>
  <si>
    <t>bet. potěr chodba 2np</t>
  </si>
  <si>
    <t>258</t>
  </si>
  <si>
    <t>962031125R00</t>
  </si>
  <si>
    <t>Bourání příček z cihel pálených děrovan. tl.140 mm</t>
  </si>
  <si>
    <t>příčka 121</t>
  </si>
  <si>
    <t>-1*2,0</t>
  </si>
  <si>
    <t>příčka 127</t>
  </si>
  <si>
    <t>2,8*1,5</t>
  </si>
  <si>
    <t>příčka pod schodištěm</t>
  </si>
  <si>
    <t>8,7*3,3</t>
  </si>
  <si>
    <t>příčky wc 2.22; 2.23; 2.24</t>
  </si>
  <si>
    <t>-2*(0,8*2)</t>
  </si>
  <si>
    <t>259</t>
  </si>
  <si>
    <t>962032231R00</t>
  </si>
  <si>
    <t>Bourání zdiva z cihel pálených na MVC</t>
  </si>
  <si>
    <t>3,8*3,3*0,35</t>
  </si>
  <si>
    <t>stěna 127</t>
  </si>
  <si>
    <t>0,65*3,3*0,2</t>
  </si>
  <si>
    <t>2,3*3,3*0,2</t>
  </si>
  <si>
    <t>stěna 120</t>
  </si>
  <si>
    <t>-0,9*2*0,2</t>
  </si>
  <si>
    <t>0,65*0,65*0,15</t>
  </si>
  <si>
    <t>nika pro hydrant</t>
  </si>
  <si>
    <t>0,4*3,3*0,2</t>
  </si>
  <si>
    <t>zdivo chodba 130</t>
  </si>
  <si>
    <t>2,1*2,1*0,35</t>
  </si>
  <si>
    <t>obvod - dveře</t>
  </si>
  <si>
    <t>0,35*0,35*1,2</t>
  </si>
  <si>
    <t>2*0,35*2,2</t>
  </si>
  <si>
    <t>obvod u vyýtahu</t>
  </si>
  <si>
    <t>0,5*0,3*1,4</t>
  </si>
  <si>
    <t>parapet okno 140</t>
  </si>
  <si>
    <t>0,65*0,65*0,3</t>
  </si>
  <si>
    <t>nika 104</t>
  </si>
  <si>
    <t>8,2*0,05*2,1</t>
  </si>
  <si>
    <t>zdivo wc</t>
  </si>
  <si>
    <t>3,3*3,3*0,5</t>
  </si>
  <si>
    <t>2np 2.08</t>
  </si>
  <si>
    <t>32,20*0,35*0,5</t>
  </si>
  <si>
    <t>2np bourání atiky</t>
  </si>
  <si>
    <t>31*0,35</t>
  </si>
  <si>
    <t>vybourání zdiva do M2.16</t>
  </si>
  <si>
    <t>-(2,22*5*0,35)</t>
  </si>
  <si>
    <t>odečet oken</t>
  </si>
  <si>
    <t>2*0,35*3</t>
  </si>
  <si>
    <t>stěna 2np m 2.10</t>
  </si>
  <si>
    <t>-(0,6*0,6*0,35)</t>
  </si>
  <si>
    <t>1,6*0,35*3</t>
  </si>
  <si>
    <t>stěna M2.09 WC</t>
  </si>
  <si>
    <t>0,65*0,65*0,28</t>
  </si>
  <si>
    <t>nika pro hydrant 2np</t>
  </si>
  <si>
    <t>nika pro hydrant 3np</t>
  </si>
  <si>
    <t>0,8*1,75*0,3</t>
  </si>
  <si>
    <t>bourání otvoru 2NP 215</t>
  </si>
  <si>
    <t>11,90*0,3</t>
  </si>
  <si>
    <t>bourání doplnění</t>
  </si>
  <si>
    <t>260</t>
  </si>
  <si>
    <t>962031124R00</t>
  </si>
  <si>
    <t>Bourání příček z cihel pálených děrovan. tl.115 mm</t>
  </si>
  <si>
    <t>0,4*3,3</t>
  </si>
  <si>
    <t>příčka u sloupu</t>
  </si>
  <si>
    <t>4,2*3,3</t>
  </si>
  <si>
    <t>stěna kolem WC</t>
  </si>
  <si>
    <t>2,2*3,3</t>
  </si>
  <si>
    <t>příčka 122</t>
  </si>
  <si>
    <t>1,2*3,3</t>
  </si>
  <si>
    <t>příčka sloup chodba</t>
  </si>
  <si>
    <t>příčka sloup 120</t>
  </si>
  <si>
    <t>12,1*2,5</t>
  </si>
  <si>
    <t>příčky WC - 2np</t>
  </si>
  <si>
    <t>-(0,8*2)*3</t>
  </si>
  <si>
    <t>261</t>
  </si>
  <si>
    <t>963051113R00</t>
  </si>
  <si>
    <t>Bourání ŽB stropů deskových tl. nad 8 cm</t>
  </si>
  <si>
    <t>12*0,2</t>
  </si>
  <si>
    <t>vybourání žlb. desky stříška vstup</t>
  </si>
  <si>
    <t>7,5*0,2</t>
  </si>
  <si>
    <t>žlb. deska - podesta</t>
  </si>
  <si>
    <t>262</t>
  </si>
  <si>
    <t>965081713RT2</t>
  </si>
  <si>
    <t>Bourání dlažeb keramických tl.10 mm, nad 1 m2</t>
  </si>
  <si>
    <t>sbíječka, dlaždice keramické</t>
  </si>
  <si>
    <t>vybourání podlah 1Np</t>
  </si>
  <si>
    <t>bourání podlah v chodbě 112 a 130</t>
  </si>
  <si>
    <t>17,5</t>
  </si>
  <si>
    <t>podlaha 2NP wc</t>
  </si>
  <si>
    <t>podlaha chodba</t>
  </si>
  <si>
    <t>263</t>
  </si>
  <si>
    <t>963054949R00</t>
  </si>
  <si>
    <t>Bourání železobetonových schodnic</t>
  </si>
  <si>
    <t>24*1,35</t>
  </si>
  <si>
    <t>bourání stupňů</t>
  </si>
  <si>
    <t>3,8*4</t>
  </si>
  <si>
    <t>schodnice bourání</t>
  </si>
  <si>
    <t>264</t>
  </si>
  <si>
    <t>962081141R00</t>
  </si>
  <si>
    <t>Bourání příček ze skleněných tvárnic tl. 15 cm</t>
  </si>
  <si>
    <t>0,8*2,4</t>
  </si>
  <si>
    <t>vybourání luxfer</t>
  </si>
  <si>
    <t>265</t>
  </si>
  <si>
    <t>968061112R00</t>
  </si>
  <si>
    <t>Vyvěšení dřevěných a plastových okenních křídel pl. do 1,5 m2</t>
  </si>
  <si>
    <t>východní pohled spojovací chodba</t>
  </si>
  <si>
    <t>jižní pohled malá okna</t>
  </si>
  <si>
    <t>266</t>
  </si>
  <si>
    <t>968062244R00</t>
  </si>
  <si>
    <t>Vybourání dřevěných rámů oken jednoduch. pl. 1 m2</t>
  </si>
  <si>
    <t>(0,6*1,2)*12</t>
  </si>
  <si>
    <t>východní pohled</t>
  </si>
  <si>
    <t>(0,6*0,6)*12</t>
  </si>
  <si>
    <t>jižní pohled</t>
  </si>
  <si>
    <t>267</t>
  </si>
  <si>
    <t>968062246R00</t>
  </si>
  <si>
    <t>Vybourání dřevěných rámů oken jednoduch. pl. 4 m2</t>
  </si>
  <si>
    <t>2*(1,5*2,4)</t>
  </si>
  <si>
    <t>vstupní část západ</t>
  </si>
  <si>
    <t>2*(1,2*2,4)</t>
  </si>
  <si>
    <t>západ</t>
  </si>
  <si>
    <t>8*(1,5*2,4)</t>
  </si>
  <si>
    <t>severní pohled část</t>
  </si>
  <si>
    <t>23*(1,5*1,45)</t>
  </si>
  <si>
    <t>severní pohled</t>
  </si>
  <si>
    <t>268</t>
  </si>
  <si>
    <t>968061113R00</t>
  </si>
  <si>
    <t>Vyvěšení dřevěných a plastových okenních křídel pl. nad 1,5 m2</t>
  </si>
  <si>
    <t>velká okna</t>
  </si>
  <si>
    <t>okna menší severní průčelí</t>
  </si>
  <si>
    <t>269</t>
  </si>
  <si>
    <t>968061126R00</t>
  </si>
  <si>
    <t>Vyvěšení dřevěných a plastových dveřních křídel pl. nad 2 m2</t>
  </si>
  <si>
    <t>270</t>
  </si>
  <si>
    <t>968072456R00</t>
  </si>
  <si>
    <t>Vybourání kovových dveřních zárubní pl. nad 2 m2</t>
  </si>
  <si>
    <t>(0,9*2)*13</t>
  </si>
  <si>
    <t>dveře spojovací chodba</t>
  </si>
  <si>
    <t>1*2</t>
  </si>
  <si>
    <t>1,25*2,25</t>
  </si>
  <si>
    <t>vstupní dveře dvůr</t>
  </si>
  <si>
    <t>(1*2)*2</t>
  </si>
  <si>
    <t>dveře 104 a 103</t>
  </si>
  <si>
    <t>(0,9*2)*6</t>
  </si>
  <si>
    <t>dveře učebny + schodiště</t>
  </si>
  <si>
    <t>(0,9*2)*20</t>
  </si>
  <si>
    <t>1,4*2</t>
  </si>
  <si>
    <t>dvoukřídlé dřevěná stěna</t>
  </si>
  <si>
    <t>dvoukřídlé dřevěná stěna schody</t>
  </si>
  <si>
    <t>271</t>
  </si>
  <si>
    <t>968061125R00</t>
  </si>
  <si>
    <t>Vyvěšení dřevěných a plastových dveřních křídel pl. do 2 m2</t>
  </si>
  <si>
    <t>dvoukřídlé dřevěná stěna 2np</t>
  </si>
  <si>
    <t>272</t>
  </si>
  <si>
    <t>961055111R00</t>
  </si>
  <si>
    <t>Bourání základů železobetonových</t>
  </si>
  <si>
    <t>0,25*0,25*0,5</t>
  </si>
  <si>
    <t>vybourání prostupu základy</t>
  </si>
  <si>
    <t>273</t>
  </si>
  <si>
    <t>963065311R00</t>
  </si>
  <si>
    <t>Bourání nosné konstrukce trámové ze dřeva měkkého</t>
  </si>
  <si>
    <t>3,35*3,5*0,05</t>
  </si>
  <si>
    <t>demontáž dřevěné stěny 2.01</t>
  </si>
  <si>
    <t>-(1,35*2*0,05)</t>
  </si>
  <si>
    <t>1,8*3,5*0,05</t>
  </si>
  <si>
    <t>dřevěná stěna u schodiště</t>
  </si>
  <si>
    <t>274</t>
  </si>
  <si>
    <t>968072747R00</t>
  </si>
  <si>
    <t>Vybourání kovových stěn výkladních pl. nad 4 m2</t>
  </si>
  <si>
    <t>hliníková stěna chodba 1np</t>
  </si>
  <si>
    <t>275</t>
  </si>
  <si>
    <t>968071125R00</t>
  </si>
  <si>
    <t>Vyvěšení, zavěšení kovových křídel dveří pl. 2 m2</t>
  </si>
  <si>
    <t>276</t>
  </si>
  <si>
    <t>965082933RT1</t>
  </si>
  <si>
    <t>Odstranění násypu tl. do 20 cm, plocha nad 2 m2</t>
  </si>
  <si>
    <t>tl. násypu 10 - 15 cm, plocha nad 2 m2</t>
  </si>
  <si>
    <t>17,5*0,15</t>
  </si>
  <si>
    <t>demontáž násypu soc. zařízení</t>
  </si>
  <si>
    <t>27*0,15</t>
  </si>
  <si>
    <t>násyp střecha</t>
  </si>
  <si>
    <t>277</t>
  </si>
  <si>
    <t>963031432R00</t>
  </si>
  <si>
    <t>Bourání cihelných kleneb na MVC tl. 15 cm</t>
  </si>
  <si>
    <t>vybourání klenby pro nová střešní okna</t>
  </si>
  <si>
    <t>Prorážení otvorů a ostatní bourací práce</t>
  </si>
  <si>
    <t>278</t>
  </si>
  <si>
    <t>976075311R00</t>
  </si>
  <si>
    <t>Vybourání ocel.konzol hmotnost do 50 kg</t>
  </si>
  <si>
    <t>97_</t>
  </si>
  <si>
    <t>(11*15)/1000</t>
  </si>
  <si>
    <t>konzola + sloupky demontáž</t>
  </si>
  <si>
    <t>279</t>
  </si>
  <si>
    <t>978059531R00</t>
  </si>
  <si>
    <t>Odsekání vnitřních obkladů stěn nad 2 m2</t>
  </si>
  <si>
    <t>9,3*1,8</t>
  </si>
  <si>
    <t>M120</t>
  </si>
  <si>
    <t>18*1,8</t>
  </si>
  <si>
    <t>M121</t>
  </si>
  <si>
    <t>6*1,8</t>
  </si>
  <si>
    <t>M122</t>
  </si>
  <si>
    <t>M127</t>
  </si>
  <si>
    <t>11,5*1,8</t>
  </si>
  <si>
    <t>M126</t>
  </si>
  <si>
    <t>32*1,8</t>
  </si>
  <si>
    <t>2np - 2.10-2.09</t>
  </si>
  <si>
    <t>12*1,8</t>
  </si>
  <si>
    <t>2np 2.22 - 2.24</t>
  </si>
  <si>
    <t>976071111R00</t>
  </si>
  <si>
    <t>Vybourání kovových zábradlí a madel</t>
  </si>
  <si>
    <t>281</t>
  </si>
  <si>
    <t>972055241R00</t>
  </si>
  <si>
    <t>Vybourání otvorů stropy prefa 0,09 m2, nad 12 cm</t>
  </si>
  <si>
    <t>prostupy stropem prs01 - 03</t>
  </si>
  <si>
    <t>282</t>
  </si>
  <si>
    <t>978011191R00</t>
  </si>
  <si>
    <t>Otlučení omítek vnitřních vápenných stropů do 100%</t>
  </si>
  <si>
    <t>otlučení rákosové omítky strop 3NP</t>
  </si>
  <si>
    <t>283</t>
  </si>
  <si>
    <t>978013211R00</t>
  </si>
  <si>
    <t>Odstranění štukové vrstvy omítky z vnitřních stěn</t>
  </si>
  <si>
    <t>780</t>
  </si>
  <si>
    <t>H99</t>
  </si>
  <si>
    <t>Ostatní přesuny hmot</t>
  </si>
  <si>
    <t>284</t>
  </si>
  <si>
    <t>999281108R00</t>
  </si>
  <si>
    <t>Přesun hmot pro opravy a údržbu do výšky 12 m</t>
  </si>
  <si>
    <t>H99_</t>
  </si>
  <si>
    <t>M46</t>
  </si>
  <si>
    <t>Zemní práce při montážích</t>
  </si>
  <si>
    <t>285</t>
  </si>
  <si>
    <t>460030072RT2</t>
  </si>
  <si>
    <t>Bourání živičných povrchů tl. vrstvy 5 - 10 cm</t>
  </si>
  <si>
    <t>M46_</t>
  </si>
  <si>
    <t>v ploše do 5 - 10 m2, včetně likvidace na skládce</t>
  </si>
  <si>
    <t>286</t>
  </si>
  <si>
    <t>460030102RT2</t>
  </si>
  <si>
    <t>Vytrhání obrubníků, lože MC, stojatých</t>
  </si>
  <si>
    <t>obrubníky do suti</t>
  </si>
  <si>
    <t>7,8</t>
  </si>
  <si>
    <t>M65</t>
  </si>
  <si>
    <t>Elektroinstalace</t>
  </si>
  <si>
    <t>287</t>
  </si>
  <si>
    <t>650801113R00</t>
  </si>
  <si>
    <t>Demontáž svítidla stropního přisazeného, včetně likvidace a odvozu</t>
  </si>
  <si>
    <t>M65_</t>
  </si>
  <si>
    <t>včetně likvidace a odvozu</t>
  </si>
  <si>
    <t>S</t>
  </si>
  <si>
    <t>Přesuny sutí</t>
  </si>
  <si>
    <t>288</t>
  </si>
  <si>
    <t>979087311R00</t>
  </si>
  <si>
    <t>Vodorovné přemístění suti nošením do 10 m</t>
  </si>
  <si>
    <t>S_</t>
  </si>
  <si>
    <t>289</t>
  </si>
  <si>
    <t>979082121R00</t>
  </si>
  <si>
    <t>Příplatek k vnitrost. dopravě suti za dalších 5 m</t>
  </si>
  <si>
    <t>379,81198</t>
  </si>
  <si>
    <t>290</t>
  </si>
  <si>
    <t>979081111RT3</t>
  </si>
  <si>
    <t>Odvoz suti a vybour. hmot na skládku do 1 km</t>
  </si>
  <si>
    <t>kontejnerem 7 t</t>
  </si>
  <si>
    <t>378+0,16+1,9+0,7+3,12+8,9+0,8+0,28</t>
  </si>
  <si>
    <t>291</t>
  </si>
  <si>
    <t>979081121RT3</t>
  </si>
  <si>
    <t>Příplatek k odvozu za každý další 1 km</t>
  </si>
  <si>
    <t>393,58+0,28</t>
  </si>
  <si>
    <t>na skládku zhotovitele</t>
  </si>
  <si>
    <t>292</t>
  </si>
  <si>
    <t>293</t>
  </si>
  <si>
    <t>979087391R00</t>
  </si>
  <si>
    <t>Příplatek za nošení suti každých dalších 10 m</t>
  </si>
  <si>
    <t>294</t>
  </si>
  <si>
    <t>979093111R00</t>
  </si>
  <si>
    <t>Uložení suti na skládku bez zhutnění</t>
  </si>
  <si>
    <t>295</t>
  </si>
  <si>
    <t>979951111R00</t>
  </si>
  <si>
    <t>Výkup kovů - železný šrot tl. do 4 mm</t>
  </si>
  <si>
    <t>2,21+0,8</t>
  </si>
  <si>
    <t>0,28</t>
  </si>
  <si>
    <t>radiátory a potrubí</t>
  </si>
  <si>
    <t>296</t>
  </si>
  <si>
    <t>979990107R00</t>
  </si>
  <si>
    <t>Poplatek za uložení suti - směs betonu, cihel, dřeva, skupina odpadu 170904</t>
  </si>
  <si>
    <t>297</t>
  </si>
  <si>
    <t>979990109R00</t>
  </si>
  <si>
    <t>Poplatek za uložení suti - skleněné tvárnice, skupina odpadu 170202</t>
  </si>
  <si>
    <t>298</t>
  </si>
  <si>
    <t>979990121R00</t>
  </si>
  <si>
    <t>Poplatek za uložení suti - asfaltové pásy, skupina odpadu 170302</t>
  </si>
  <si>
    <t>299</t>
  </si>
  <si>
    <t>979990144R00</t>
  </si>
  <si>
    <t>Poplatek za uložení suti - minerální vata, skupina odpadu 170604</t>
  </si>
  <si>
    <t>300</t>
  </si>
  <si>
    <t>979990162R00</t>
  </si>
  <si>
    <t>Poplatek za uložení suti - dřevo+sklo, skupina odpadu 170904</t>
  </si>
  <si>
    <t>301</t>
  </si>
  <si>
    <t>979990161R00</t>
  </si>
  <si>
    <t>Poplatek za uložení - dřevo, skupina odpadu 170201</t>
  </si>
  <si>
    <t>302</t>
  </si>
  <si>
    <t>979990181R00</t>
  </si>
  <si>
    <t>Poplatek za uložení suti - PVC podlahová krytina, skupina odpadu 200307</t>
  </si>
  <si>
    <t>M</t>
  </si>
  <si>
    <t>303</t>
  </si>
  <si>
    <t>RVT</t>
  </si>
  <si>
    <t>Dodávka a montáž výtahu dle popisu z TZ</t>
  </si>
  <si>
    <t>0</t>
  </si>
  <si>
    <t>Z99999_</t>
  </si>
  <si>
    <t>S01A_Z_</t>
  </si>
  <si>
    <t>304</t>
  </si>
  <si>
    <t>44984102</t>
  </si>
  <si>
    <t>Přístroj hasicí práškový 21A dodávka a montáž</t>
  </si>
  <si>
    <t>RTS II / 2023</t>
  </si>
  <si>
    <t>305</t>
  </si>
  <si>
    <t>R449841002</t>
  </si>
  <si>
    <t>Přístroj hasicí práškový 13A dodávka a montáž</t>
  </si>
  <si>
    <t>306</t>
  </si>
  <si>
    <t>44984132</t>
  </si>
  <si>
    <t>tabulky na únikovou cestu</t>
  </si>
  <si>
    <t>307</t>
  </si>
  <si>
    <t>R44984132</t>
  </si>
  <si>
    <t>tabulky haptické, označení vstupu a výtahu pro OSSP</t>
  </si>
  <si>
    <t>308</t>
  </si>
  <si>
    <t>R615290744</t>
  </si>
  <si>
    <t>Zrcadlo pevné, sklopné wc pro vozíčkáře</t>
  </si>
  <si>
    <t>309</t>
  </si>
  <si>
    <t>310</t>
  </si>
  <si>
    <t>R74910211</t>
  </si>
  <si>
    <t>Koš odpadkový dodávka a montáž</t>
  </si>
  <si>
    <t>311</t>
  </si>
  <si>
    <t>55149005</t>
  </si>
  <si>
    <t>Držák toaletního papíru dodávka a montáž</t>
  </si>
  <si>
    <t>312</t>
  </si>
  <si>
    <t>R591608477</t>
  </si>
  <si>
    <t>Háček na oděvy dodávka a montíž</t>
  </si>
  <si>
    <t>bal</t>
  </si>
  <si>
    <t>313</t>
  </si>
  <si>
    <t>55440402</t>
  </si>
  <si>
    <t>Madlo pevné 900 mm leštěná nerez</t>
  </si>
  <si>
    <t>314</t>
  </si>
  <si>
    <t>553530046</t>
  </si>
  <si>
    <t>Lemování pro střešní okno, rozměr 780 x 1180 mm</t>
  </si>
  <si>
    <t>VORN</t>
  </si>
  <si>
    <t>01VRN</t>
  </si>
  <si>
    <t>315</t>
  </si>
  <si>
    <t>013002VRN</t>
  </si>
  <si>
    <t>Projektové práce - dokumentace skutečného provedení</t>
  </si>
  <si>
    <t>Soubor</t>
  </si>
  <si>
    <t>01VRN_</t>
  </si>
  <si>
    <t>S01A_Â _</t>
  </si>
  <si>
    <t>04VRN</t>
  </si>
  <si>
    <t>316</t>
  </si>
  <si>
    <t>040001VRN</t>
  </si>
  <si>
    <t>Inženýrské činnosti - zajištění záboru, DIO</t>
  </si>
  <si>
    <t>04VRN_</t>
  </si>
  <si>
    <t>09VRN</t>
  </si>
  <si>
    <t>317</t>
  </si>
  <si>
    <t>R762192913RT2</t>
  </si>
  <si>
    <t>Zabednění otvorů stěn 2stranně OSB desky a konstrukce nad pl.4 m2</t>
  </si>
  <si>
    <t>09VRN_</t>
  </si>
  <si>
    <t>včetně hranolů, OSB desk, provizorní konstrukce, dodávka montáž demontáž odvoz</t>
  </si>
  <si>
    <t>provizorní zajištění prostor</t>
  </si>
  <si>
    <t>728</t>
  </si>
  <si>
    <t>Vzduchotechnika</t>
  </si>
  <si>
    <t>318</t>
  </si>
  <si>
    <t>728111114IM</t>
  </si>
  <si>
    <t>Montáž potrubí plechového čtyřhranného do 0,13 m2</t>
  </si>
  <si>
    <t>728_</t>
  </si>
  <si>
    <t>S01B_72_</t>
  </si>
  <si>
    <t>S01B_</t>
  </si>
  <si>
    <t>319</t>
  </si>
  <si>
    <t>spcIM</t>
  </si>
  <si>
    <t>Potrubí čtyřhranné sk. Í, dél. strany 251-750, rovné</t>
  </si>
  <si>
    <t>320</t>
  </si>
  <si>
    <t>Potrubí čtyřhrannÚ sk. Í, dÚl. strany 751-1250, rovnÚ</t>
  </si>
  <si>
    <t>321</t>
  </si>
  <si>
    <t>728112111IM</t>
  </si>
  <si>
    <t>Montáž potrubí plechového kruhového do d 100 mm, vč. dodávky potrubí pozinkovaného SPIRO d 100 mm</t>
  </si>
  <si>
    <t>322</t>
  </si>
  <si>
    <t>728112112IM</t>
  </si>
  <si>
    <t>Montáž potrubí plechovho kruhového do d 200 mm, vč. dodávky potrubí pozinkovaného SPIRO d 125 mm</t>
  </si>
  <si>
    <t>323</t>
  </si>
  <si>
    <t>Montáž potrubí plechového kruhového do d 200 mm, vč. dodávky potrubí pozinkovaného SPIRO Elektrodesign d 160 mm</t>
  </si>
  <si>
    <t>324</t>
  </si>
  <si>
    <t>Montáž potrubí plechového kruhového do d 200 mm, vč. dodávky potrubí pozinkovaného SPIRO Elektrodesign d 200 mm</t>
  </si>
  <si>
    <t>325</t>
  </si>
  <si>
    <t>728112113IM</t>
  </si>
  <si>
    <t>Montáž potrubí plechového kruhového do d 300 mm, vč. dodávky potrubí pozinkovaného SPIRO Elektrodesign d 250 mm</t>
  </si>
  <si>
    <t>326</t>
  </si>
  <si>
    <t>Montáž potrubí plechového kruhového do d 300 mm, vč. dodávky potrubí pozinkovaného SPIRO d 315 mm</t>
  </si>
  <si>
    <t>327</t>
  </si>
  <si>
    <t>728115111IM</t>
  </si>
  <si>
    <t>Montáž potrubí ohebného neizolovaného z AL do d 100 mm, vč. dodávky potrubí d 102 mm</t>
  </si>
  <si>
    <t>328</t>
  </si>
  <si>
    <t>728115112IM</t>
  </si>
  <si>
    <t>Montáž potrubí ohebného neizolovaného z AL do d 200 mm, vč. dodávky potrubí d 127 mm</t>
  </si>
  <si>
    <t>329</t>
  </si>
  <si>
    <t>Montáž potrubí ohebného neizolovaného z AL do d 200 mm, vč. dodávky potrubí d 160 mm</t>
  </si>
  <si>
    <t>330</t>
  </si>
  <si>
    <t>728115412IM</t>
  </si>
  <si>
    <t>Montáž potrubí ohebného izolovaného z AL do d 200 mm, vč. dodávky potrubí s izol. SONO tl. 25 mm, d 206</t>
  </si>
  <si>
    <t>331</t>
  </si>
  <si>
    <t>728211114IM</t>
  </si>
  <si>
    <t>Montáž oblouku plechového čtyřhranného do 0,13 m2</t>
  </si>
  <si>
    <t>332</t>
  </si>
  <si>
    <t>728211214IM</t>
  </si>
  <si>
    <t>Montáž přechodu plechového čtyřhranného do 0,13 m2</t>
  </si>
  <si>
    <t>333</t>
  </si>
  <si>
    <t>728211216IM</t>
  </si>
  <si>
    <t>Montáž přechodu plechového čtyřhranného do 0,28 m2</t>
  </si>
  <si>
    <t>334</t>
  </si>
  <si>
    <t>728211316IM</t>
  </si>
  <si>
    <t>Montáž odbočky plechové čtyřhranné do 0,28 m2</t>
  </si>
  <si>
    <t>335</t>
  </si>
  <si>
    <t>Potrubí čtyřhranné sk. Í, dél. strany 251-750, tvarovky</t>
  </si>
  <si>
    <t>336</t>
  </si>
  <si>
    <t>Potrubí čtyřhranné sk. Í, dél. strany 751-1250, tvarovky</t>
  </si>
  <si>
    <t>337</t>
  </si>
  <si>
    <t>728212714IM</t>
  </si>
  <si>
    <t>Montáž stříšky nebo hlavice do plechového kruhového potrubí do d 400 mm</t>
  </si>
  <si>
    <t>338</t>
  </si>
  <si>
    <t>42972153RIM</t>
  </si>
  <si>
    <t>Hlavice výfuková DN 200</t>
  </si>
  <si>
    <t>339</t>
  </si>
  <si>
    <t>728212412IM</t>
  </si>
  <si>
    <t>Montáž klapky plechové kruhové do d 200 mm</t>
  </si>
  <si>
    <t>42971750104RIM</t>
  </si>
  <si>
    <t>Klapka kruhová regulační KSK-100</t>
  </si>
  <si>
    <t>341</t>
  </si>
  <si>
    <t>728212413IM</t>
  </si>
  <si>
    <t>Montáž klapky plechové kruhové do d 300 mm</t>
  </si>
  <si>
    <t>342</t>
  </si>
  <si>
    <t>42971750105RIM</t>
  </si>
  <si>
    <t>343</t>
  </si>
  <si>
    <t>728212111IM</t>
  </si>
  <si>
    <t>Montáž oblouku plechového kruhového do d 100 mm, vč. dodávky Pz oblouku segmentového 90- d 100 mm</t>
  </si>
  <si>
    <t>344</t>
  </si>
  <si>
    <t>728212112IM</t>
  </si>
  <si>
    <t>Montáž oblouku plechového kruhového do d 200 mm, vč. dodávky Pz oblouku segmentového 90- d 200 mm</t>
  </si>
  <si>
    <t>345</t>
  </si>
  <si>
    <t>728212113IM</t>
  </si>
  <si>
    <t>Montáž oblouku plechového kruhového do d 300 mm, vč. dodávky Pz oblouku segmentového 90- d 250 mm</t>
  </si>
  <si>
    <t>346</t>
  </si>
  <si>
    <t>728212114IM</t>
  </si>
  <si>
    <t>Montáž oblouku plechového kruhového do d 400 mm, vč. dodávky Pz oblouku segmentového 90- d 315 mm</t>
  </si>
  <si>
    <t>347</t>
  </si>
  <si>
    <t>Montáž oblouku plechového kruhového do d 400 mm, vč. dodávky Pz oblouku segmentového 30- d 315 mm</t>
  </si>
  <si>
    <t>348</t>
  </si>
  <si>
    <t>728212311IM</t>
  </si>
  <si>
    <t>Montáž odbočky plechové kruhové do d 100 mm, vč. dodávky Pz odbočky T 90- d 100/ 100 mm</t>
  </si>
  <si>
    <t>349</t>
  </si>
  <si>
    <t>728212312IM</t>
  </si>
  <si>
    <t>Montáž odbočky plechové kruhové do d 200 mm, vč. dodávky Pz odbočky T 90- d 125/ 125 mm</t>
  </si>
  <si>
    <t>Montáž odbočky plechové kruhové do d 200 mm, vč. dodávky Pz odbočky T 90- d 160/ 100 mm</t>
  </si>
  <si>
    <t>351</t>
  </si>
  <si>
    <t>Montáž odbočky plechové kruhové do d 200 mm, vč. dodávky Pz odbočky T 90- d 160/ 125 mm</t>
  </si>
  <si>
    <t>352</t>
  </si>
  <si>
    <t>Montáž odbočky plechové kruhové do d 200 mm, vč. dodávky Pz odbočky T 90- d 160/ 160 mm</t>
  </si>
  <si>
    <t>353</t>
  </si>
  <si>
    <t>Montáž odbočky plechové kruhové do d 200 mm, vč. dodávky Pz odbočky T 90- d 200/ 125 mm</t>
  </si>
  <si>
    <t>354</t>
  </si>
  <si>
    <t>Montáž odbočky plechové kruhové do d 200 mm, vč. dodávky Pz odbočky T 90- d 200/ 160 mm</t>
  </si>
  <si>
    <t>355</t>
  </si>
  <si>
    <t>Montáž odbočky plechové kruhové do d 200 mm, vč. dodávky Pz odbočky T 90- d 200/ 200 mm</t>
  </si>
  <si>
    <t>356</t>
  </si>
  <si>
    <t>728212711IM</t>
  </si>
  <si>
    <t>Montáž stříšky nebo hlavice do plechového kruhového potrubí do d 100 mm, vč. dodávky hlavice výfukové d 100 mm</t>
  </si>
  <si>
    <t>357</t>
  </si>
  <si>
    <t>Montáž stříšky nebo hlavice do plechového kruhového potrubí do d 400 mm, vč. dodávky stříšky protidešťové s lemem d 315 mm</t>
  </si>
  <si>
    <t>358</t>
  </si>
  <si>
    <t>728311122IM</t>
  </si>
  <si>
    <t>Montáž ohřívače elektrického do kruhového potrubí, do d 400 mm, součást dodávky VZT jednotky - poz. 1b</t>
  </si>
  <si>
    <t>359</t>
  </si>
  <si>
    <t>728312112IM</t>
  </si>
  <si>
    <t>Montáž tlumiče hluku čtyřhranného do 0,3 m2</t>
  </si>
  <si>
    <t>360</t>
  </si>
  <si>
    <t>Tlumič hluku 800x300x1000, poz. 4</t>
  </si>
  <si>
    <t>361</t>
  </si>
  <si>
    <t>Tlumič hluku 600x400x1000, poz. 13</t>
  </si>
  <si>
    <t>362</t>
  </si>
  <si>
    <t>728312124IM</t>
  </si>
  <si>
    <t>Montáž tlumiče kruhového do d 400 mm</t>
  </si>
  <si>
    <t>363</t>
  </si>
  <si>
    <t>Tlumič hluku d 315, 1 m, poz. 3</t>
  </si>
  <si>
    <t>364</t>
  </si>
  <si>
    <t>728412223IM</t>
  </si>
  <si>
    <t>Montáž anemostatu kruhového vířivého do d 500 mm, vč. dod. anemostatu se čtyřhr. panelem - poz. 7</t>
  </si>
  <si>
    <t>365</t>
  </si>
  <si>
    <t>728413521IM</t>
  </si>
  <si>
    <t>Montáž talířového ventilu kruhového do d 100 mm</t>
  </si>
  <si>
    <t>366</t>
  </si>
  <si>
    <t>4297266014RIM</t>
  </si>
  <si>
    <t>Ventil talířový odvodní kovový KK 080</t>
  </si>
  <si>
    <t>367</t>
  </si>
  <si>
    <t>728413522IM</t>
  </si>
  <si>
    <t>Montáž talířového ventilu kruhového do d 200 mm</t>
  </si>
  <si>
    <t>368</t>
  </si>
  <si>
    <t>4297266015RIM</t>
  </si>
  <si>
    <t>369</t>
  </si>
  <si>
    <t>4297266017RIM</t>
  </si>
  <si>
    <t>370</t>
  </si>
  <si>
    <t>728415112IM</t>
  </si>
  <si>
    <t>Montáž mřížky větrací nebo ventilační do 0,10 m2</t>
  </si>
  <si>
    <t>371</t>
  </si>
  <si>
    <t>42972875RIM</t>
  </si>
  <si>
    <t>Mřížka čtyřhranná KMM 500 x 200 mm TP.30, do zdi</t>
  </si>
  <si>
    <t>372</t>
  </si>
  <si>
    <t>728415113IM</t>
  </si>
  <si>
    <t>Montáž mřížky větrací nebo ventilační do 0,15 m2</t>
  </si>
  <si>
    <t>373</t>
  </si>
  <si>
    <t>42972880RIM</t>
  </si>
  <si>
    <t>Mřížka čtyřhranná KMM 800 x 315 mm TP.30, do zdi</t>
  </si>
  <si>
    <t>374</t>
  </si>
  <si>
    <t>728416224IM</t>
  </si>
  <si>
    <t>Montáž větrací jednotky s rekuperací, centrální, průtok vzduchu nad 1000 m3/hod</t>
  </si>
  <si>
    <t>375</t>
  </si>
  <si>
    <t>Rekup. jednotka s regulací, vest. el. ohřevem, externím el. předehřevem, poz. 1a, 1b</t>
  </si>
  <si>
    <t>376</t>
  </si>
  <si>
    <t>728616211IM</t>
  </si>
  <si>
    <t>Montáž ventilátoru diagonálního nízkotlakého potrubního do d 100 mm</t>
  </si>
  <si>
    <t>377</t>
  </si>
  <si>
    <t>Diag. ventilátor do potrubí d 100, tichř, s vest. doběhem, poz. 2</t>
  </si>
  <si>
    <t>378</t>
  </si>
  <si>
    <t>998728101IM</t>
  </si>
  <si>
    <t>Přesun hmot pro vzduchotechniku, vřšky do 6 m</t>
  </si>
  <si>
    <t>379</t>
  </si>
  <si>
    <t>27244587RIM</t>
  </si>
  <si>
    <t>Pás izolační kaučukový K-Flex ST tl. 6 mm</t>
  </si>
  <si>
    <t>S01B_Z_</t>
  </si>
  <si>
    <t>733</t>
  </si>
  <si>
    <t>Rozvod potrubí</t>
  </si>
  <si>
    <t>380</t>
  </si>
  <si>
    <t>733163102IM</t>
  </si>
  <si>
    <t>Potrubí pro vytápění a chlazení, měděné, spojované pájením, D 15 x 1,0 mm</t>
  </si>
  <si>
    <t>733_</t>
  </si>
  <si>
    <t>S01C_73_</t>
  </si>
  <si>
    <t>S01C_</t>
  </si>
  <si>
    <t>381</t>
  </si>
  <si>
    <t>733163103IM</t>
  </si>
  <si>
    <t>Potrubí pro vytápění a chlazení, měděné, spojované pájením, D 18 x 1,0 mm</t>
  </si>
  <si>
    <t>382</t>
  </si>
  <si>
    <t>733163104IM</t>
  </si>
  <si>
    <t>Potrubí pro vytápění a chlazení, měděné, spojované pájením, D 22 x 1,0 mm</t>
  </si>
  <si>
    <t>383</t>
  </si>
  <si>
    <t>733167001IM</t>
  </si>
  <si>
    <t>Příplatek za zhotovení přípojky Cu 15/1</t>
  </si>
  <si>
    <t>384</t>
  </si>
  <si>
    <t>733190306IM</t>
  </si>
  <si>
    <t>Tlaková zkouška Cu potrubí do D 35</t>
  </si>
  <si>
    <t>385</t>
  </si>
  <si>
    <t>733160801IM</t>
  </si>
  <si>
    <t>Demontáž potrubí z měděných trubek D 28 mm</t>
  </si>
  <si>
    <t>386</t>
  </si>
  <si>
    <t>733160804IM</t>
  </si>
  <si>
    <t>Demontáž potrubí z měděnřch trubek D 54 mm</t>
  </si>
  <si>
    <t>387</t>
  </si>
  <si>
    <t>733890801IM</t>
  </si>
  <si>
    <t>Přemístění vybouranřch hmot - potrubí, H do 6 m</t>
  </si>
  <si>
    <t>388</t>
  </si>
  <si>
    <t>733161906IM</t>
  </si>
  <si>
    <t>Propojení měděného potrubí vytápění D 35 mm</t>
  </si>
  <si>
    <t>389</t>
  </si>
  <si>
    <t>998733101IM</t>
  </si>
  <si>
    <t>Přesun hmot pro rozvody potrubí, vřšky do 6 m</t>
  </si>
  <si>
    <t>734</t>
  </si>
  <si>
    <t>Armatury</t>
  </si>
  <si>
    <t>390</t>
  </si>
  <si>
    <t>734213111IM</t>
  </si>
  <si>
    <t>Ventil automatický odvzdušňovací, DN 10</t>
  </si>
  <si>
    <t>734_</t>
  </si>
  <si>
    <t>391</t>
  </si>
  <si>
    <t>734221672IM</t>
  </si>
  <si>
    <t>Hlavice ovládání ventilů termostatická, pro veřejné prostory</t>
  </si>
  <si>
    <t>392</t>
  </si>
  <si>
    <t>734223713IM</t>
  </si>
  <si>
    <t>Kohout kul.regul.vnitř.-vnitř.z.TOP BAL DN 20</t>
  </si>
  <si>
    <t>393</t>
  </si>
  <si>
    <t>734223714IM</t>
  </si>
  <si>
    <t>Kohout kul.regul.vnitř.-vnitř.z.TOP BAL DN 25</t>
  </si>
  <si>
    <t>394</t>
  </si>
  <si>
    <t>734233112IM</t>
  </si>
  <si>
    <t>Kohout kulový, vnitř.-vnitř.z. DN 20</t>
  </si>
  <si>
    <t>395</t>
  </si>
  <si>
    <t>734233113IM</t>
  </si>
  <si>
    <t>Kohout kulový, vnitř.-vnitř.z. DN 25</t>
  </si>
  <si>
    <t>396</t>
  </si>
  <si>
    <t>734266422IM</t>
  </si>
  <si>
    <t>Šroubení uz.dvoutr.s vyp.přímé, DN15</t>
  </si>
  <si>
    <t>397</t>
  </si>
  <si>
    <t>734293312IM</t>
  </si>
  <si>
    <t>Kohout kulový vypouštěcí, DN 15</t>
  </si>
  <si>
    <t>398</t>
  </si>
  <si>
    <t>734413122IM</t>
  </si>
  <si>
    <t>Teploměr 120 -C, D 63 / dl.jímky 50 mm</t>
  </si>
  <si>
    <t>399</t>
  </si>
  <si>
    <t>734200821IM</t>
  </si>
  <si>
    <t>Demontáž armatur se 2závity do G 1/2</t>
  </si>
  <si>
    <t>400</t>
  </si>
  <si>
    <t>734890801IM</t>
  </si>
  <si>
    <t>Přemístění demontovaných hmot - armatur, H do 6 m</t>
  </si>
  <si>
    <t>401</t>
  </si>
  <si>
    <t>998734101IM</t>
  </si>
  <si>
    <t>Přesun hmot pro armatury, výšky do 6 m</t>
  </si>
  <si>
    <t>735</t>
  </si>
  <si>
    <t>Otopná tělesa</t>
  </si>
  <si>
    <t>402</t>
  </si>
  <si>
    <t>735153300IM</t>
  </si>
  <si>
    <t>Příplatek za odvzdušňovací ventil</t>
  </si>
  <si>
    <t>735_</t>
  </si>
  <si>
    <t>403</t>
  </si>
  <si>
    <t>735157160IM</t>
  </si>
  <si>
    <t>Otop. těl. panel. VK 10, v. 600 mm, dl. 400 mm, vent. vl. s regulátorem průtoku</t>
  </si>
  <si>
    <t>404</t>
  </si>
  <si>
    <t>735157260IM</t>
  </si>
  <si>
    <t>Otop. těl. panel. VK 11, v. 600 mm, dl. 400 mm, vent. vl. s regulátorem průtoku</t>
  </si>
  <si>
    <t>405</t>
  </si>
  <si>
    <t>735157261IM</t>
  </si>
  <si>
    <t>Otop. těl. panel. VK 11, v. 600 mm, dl. 500 mm, vent. vl. s regulátorem průtoku</t>
  </si>
  <si>
    <t>406</t>
  </si>
  <si>
    <t>735157262IM</t>
  </si>
  <si>
    <t>Otop. těl. panel. VK 11, v. 600 mm, dl. 600 mm, vent. vl. s regulátorem průtoku</t>
  </si>
  <si>
    <t>407</t>
  </si>
  <si>
    <t>735157263IM</t>
  </si>
  <si>
    <t>Otop. těl. panel. VK 11, v. 600 mm, dl. 700 mm, vent. vl. s regulátorem průtoku</t>
  </si>
  <si>
    <t>408</t>
  </si>
  <si>
    <t>735157266IM</t>
  </si>
  <si>
    <t>Otop. těl. panel. VK 11, v. 600 mm, dl. 1000 mm, vent. vl. s regulátorem průtoku</t>
  </si>
  <si>
    <t>409</t>
  </si>
  <si>
    <t>735157561IM</t>
  </si>
  <si>
    <t>Otop. těl. panel. VK 21, v. 600 mm, dl. 500 mm, vent. vl. s regulátorem průtoku</t>
  </si>
  <si>
    <t>410</t>
  </si>
  <si>
    <t>735157564IM</t>
  </si>
  <si>
    <t>Otop. těl. panel. VK 21, v. 600 mm, dl. 800 mm, vent. vl. s regulátorem průtoku</t>
  </si>
  <si>
    <t>411</t>
  </si>
  <si>
    <t>735157565IM</t>
  </si>
  <si>
    <t>Otop. těl. panel. VK 21, v. 600 mm, dl. 900 mm, vent. vl. s regulátorem průtoku</t>
  </si>
  <si>
    <t>412</t>
  </si>
  <si>
    <t>735157663IM</t>
  </si>
  <si>
    <t>Otop. těl. panel. VK 22, v. 600 mm, dl. 700 mm, vent. vl. s regulátorem průtoku</t>
  </si>
  <si>
    <t>413</t>
  </si>
  <si>
    <t>735158210IM</t>
  </si>
  <si>
    <t>Tlakové zkoušky panelových těles jednořadých</t>
  </si>
  <si>
    <t>414</t>
  </si>
  <si>
    <t>735158220IM</t>
  </si>
  <si>
    <t>Tlakové zkoušky panelových těles dvouřadých</t>
  </si>
  <si>
    <t>415</t>
  </si>
  <si>
    <t>735151821IM</t>
  </si>
  <si>
    <t>Demontáž otopných těles panelovách dvouřadých, délky do 1500 mm</t>
  </si>
  <si>
    <t>416</t>
  </si>
  <si>
    <t>735494811IM</t>
  </si>
  <si>
    <t>Vypuštění vody z otopných těles</t>
  </si>
  <si>
    <t>417</t>
  </si>
  <si>
    <t>735890801IM</t>
  </si>
  <si>
    <t>Přemístění demont. hmot - otop. těles, H do 6 m</t>
  </si>
  <si>
    <t>418</t>
  </si>
  <si>
    <t>998735101IM</t>
  </si>
  <si>
    <t>Přesun hmot pro otopná tělesa, vřšky do 6 m</t>
  </si>
  <si>
    <t>419</t>
  </si>
  <si>
    <t>974051215R00</t>
  </si>
  <si>
    <t>Frézování drážky do 50x50 mm, zdivo,cihla plná</t>
  </si>
  <si>
    <t>S01D_9_</t>
  </si>
  <si>
    <t>S01D_</t>
  </si>
  <si>
    <t>420</t>
  </si>
  <si>
    <t>974051212R00</t>
  </si>
  <si>
    <t>Frézování drážky do 30x30 mm, zdivo,cihla plná</t>
  </si>
  <si>
    <t>580</t>
  </si>
  <si>
    <t>421</t>
  </si>
  <si>
    <t>974052315R00</t>
  </si>
  <si>
    <t>Frézování drážky do 30x30 mm, strop,cihel.tvárnice</t>
  </si>
  <si>
    <t>422</t>
  </si>
  <si>
    <t>FP22SNIMVD</t>
  </si>
  <si>
    <t>ROZVADĚČ RP1, zapuštěný ocelolechový rozvaděč š=550, v=800, hl=125; In = 63A, IP44/30 (128 modulů); vnitřní náplň viz. výkresová část PD</t>
  </si>
  <si>
    <t>ks</t>
  </si>
  <si>
    <t>423</t>
  </si>
  <si>
    <t>FZ442NIMVD</t>
  </si>
  <si>
    <t>ROZVADĚČ RP2, zapuštěný ocelolechový rozvaděč š=550, v=800, hl=125; In = 63A, IP44/30 (128 modulů); vnitřní náplň viz. výkresová část PD</t>
  </si>
  <si>
    <t>424</t>
  </si>
  <si>
    <t>FZ612NIMVD</t>
  </si>
  <si>
    <t>dozbrojení hlavního rozvaděče RSM1 (m.č. 103); 2x vývod pro nový rozvaděče RP1, RP2  - 2x jistič 32A/L3/B;</t>
  </si>
  <si>
    <t>1x vývod pro řídící jednotku ŘJ požárního odvětrání - 1x jistič 10A/L1/B</t>
  </si>
  <si>
    <t>425</t>
  </si>
  <si>
    <t>FZ612NIMVDa</t>
  </si>
  <si>
    <t>dozbrojení podružného rozvaděče ozn. RS.R1 (1.NP); 1x vývod pro osvětlení - 1x jistič 10A/L1/B</t>
  </si>
  <si>
    <t>426</t>
  </si>
  <si>
    <t>FZ612NIMVDb</t>
  </si>
  <si>
    <t>dozbrojení podružného rozvaděče ozn. RS.R2 (2.NP); 1x vývod pro osvětlení - 1x jistič 10A/L1/B</t>
  </si>
  <si>
    <t>427</t>
  </si>
  <si>
    <t>FZ612NIMVDc</t>
  </si>
  <si>
    <t>dozbrojení podružného rozvaděče ozn. RS.R3 (3.NP); 1x vývod pro osvětlení - 1x jistič 10A/L1/B</t>
  </si>
  <si>
    <t>428</t>
  </si>
  <si>
    <t>FZ612NIMVDM</t>
  </si>
  <si>
    <t>Montáž zařízení - rozvaděče</t>
  </si>
  <si>
    <t>M21</t>
  </si>
  <si>
    <t>Elektromontáže</t>
  </si>
  <si>
    <t>429</t>
  </si>
  <si>
    <t>34111076</t>
  </si>
  <si>
    <t>Kabel silový s Cu jádrem 750 V CYKY 4 x 10 mm2</t>
  </si>
  <si>
    <t>M21_</t>
  </si>
  <si>
    <t>430</t>
  </si>
  <si>
    <t>34111098</t>
  </si>
  <si>
    <t>Kabel silový s Cu jádrem 750 V CYKY 5 x 4 mm2</t>
  </si>
  <si>
    <t>431</t>
  </si>
  <si>
    <t>34111094</t>
  </si>
  <si>
    <t>Kabel silový s Cu jádrem 750 V CYKY 5 x 2,5 mm2</t>
  </si>
  <si>
    <t>432</t>
  </si>
  <si>
    <t>34111036</t>
  </si>
  <si>
    <t>Kabel silový s Cu jádrem 750 V CYKY 3 x 2,5 mm2</t>
  </si>
  <si>
    <t>1875</t>
  </si>
  <si>
    <t>433</t>
  </si>
  <si>
    <t>34111090</t>
  </si>
  <si>
    <t>Kabel silový s Cu jádrem 750 V CYKY 5 x 1,5 mm2</t>
  </si>
  <si>
    <t>1058</t>
  </si>
  <si>
    <t>434</t>
  </si>
  <si>
    <t>34111030</t>
  </si>
  <si>
    <t>Kabel silový s Cu jádrem 750 V CYKY 3 x 1,5 mm2</t>
  </si>
  <si>
    <t>924</t>
  </si>
  <si>
    <t>435</t>
  </si>
  <si>
    <t>34111033</t>
  </si>
  <si>
    <t>Kabel silový s Cu jádrem 750 V CYKY-O 3 x 1,5 mm2</t>
  </si>
  <si>
    <t>516</t>
  </si>
  <si>
    <t>436</t>
  </si>
  <si>
    <t>34109517</t>
  </si>
  <si>
    <t>Kabel silový s Cu jádrem 750 V CYKYLo 3 x 2,5 mm2</t>
  </si>
  <si>
    <t>437</t>
  </si>
  <si>
    <t>R34111102</t>
  </si>
  <si>
    <t>Kabel J-H(St)H 3x2x0,6 systému nouzového volání</t>
  </si>
  <si>
    <t>438</t>
  </si>
  <si>
    <t>R34111154</t>
  </si>
  <si>
    <t>CXKH-V 3x6 FE180/P60-R B2s1d0</t>
  </si>
  <si>
    <t>439</t>
  </si>
  <si>
    <t>R34111165</t>
  </si>
  <si>
    <t>CXKH-V 3x1,5 FE180/P60-R B2s1d0</t>
  </si>
  <si>
    <t>440</t>
  </si>
  <si>
    <t>R34111195</t>
  </si>
  <si>
    <t>JE-H(St)H 2x2x0,8</t>
  </si>
  <si>
    <t>441</t>
  </si>
  <si>
    <t>R34111180</t>
  </si>
  <si>
    <t>JE-H(St)H 1x2x0,8</t>
  </si>
  <si>
    <t>442</t>
  </si>
  <si>
    <t>650122621RT4</t>
  </si>
  <si>
    <t>Uložení vodiče Cu 16 mm2 volně (pospojení)</t>
  </si>
  <si>
    <t>včetně dodávky vodiče H07V-K (CYA) 16 mm2</t>
  </si>
  <si>
    <t>443</t>
  </si>
  <si>
    <t>650122617RT4</t>
  </si>
  <si>
    <t>Uložení vodiče Cu 6 mm2 volně (pospojení)</t>
  </si>
  <si>
    <t>včetně dodávky vodiče H07V-K (CYA) 6 mm2</t>
  </si>
  <si>
    <t>444</t>
  </si>
  <si>
    <t>R6501</t>
  </si>
  <si>
    <t>Ukončení kabelů v rozvaděči a ve spotřebičích, označení kabelu štítkem s vyznačením okruhu a původu napájení</t>
  </si>
  <si>
    <t>445</t>
  </si>
  <si>
    <t>R222260552R00</t>
  </si>
  <si>
    <t>Trubka plast.ohebná 25 pod omítku</t>
  </si>
  <si>
    <t>446</t>
  </si>
  <si>
    <t>222260573R00</t>
  </si>
  <si>
    <t>Trubka plast. tuhá 25 na příchytkách vč.příchytek</t>
  </si>
  <si>
    <t>447</t>
  </si>
  <si>
    <t>R220264143R00</t>
  </si>
  <si>
    <t>Kabelový žlab drátěný 50x150 mm, včetně uchycení + příslušenství (tvarové, díly, spojky)</t>
  </si>
  <si>
    <t>448</t>
  </si>
  <si>
    <t>R220</t>
  </si>
  <si>
    <t>Normová instalace (rozteč 300mm) vč. uchycení trasa (40 m); distanční příchytka s připoj. závitem M6 12,5-14mm</t>
  </si>
  <si>
    <t>449</t>
  </si>
  <si>
    <t>R221</t>
  </si>
  <si>
    <t>Ostatní drobný montážní materiál</t>
  </si>
  <si>
    <t>450</t>
  </si>
  <si>
    <t>220261665R00</t>
  </si>
  <si>
    <t>Začištění drážky, konečná úprava</t>
  </si>
  <si>
    <t>451</t>
  </si>
  <si>
    <t>220261664R00</t>
  </si>
  <si>
    <t>Hrubá výplň drážky</t>
  </si>
  <si>
    <t>452</t>
  </si>
  <si>
    <t>220261M</t>
  </si>
  <si>
    <t>Montáž kabelů a kabelových tras</t>
  </si>
  <si>
    <t>453</t>
  </si>
  <si>
    <t>R21020</t>
  </si>
  <si>
    <t>SVÍTIDLO "A1" Vestavné LED svítidlo modul 600, opálový kryt, hliníkový rámeček, LED 23W, 3000lm, Ra80, 4000K, IP40</t>
  </si>
  <si>
    <t>454</t>
  </si>
  <si>
    <t>R210201</t>
  </si>
  <si>
    <t>SVÍTIDLO "A2" Vestavné LED svítidlo modul 600, opálový kryt, hliníkový rámeček, LED 33W, 4200lm, Ra80, 4000K, IP40</t>
  </si>
  <si>
    <t>455</t>
  </si>
  <si>
    <t>R210202</t>
  </si>
  <si>
    <t>SVÍTIDLO "A3" Vestavné LED svítidlo modul 600, opálový kryt, hliníkový rámeček, LED 49W, 5500lm, Ra80, 4000K, IP40</t>
  </si>
  <si>
    <t>456</t>
  </si>
  <si>
    <t>R210203</t>
  </si>
  <si>
    <t>SVÍTIDLO "B1" Závěsné LED svítidlo z hliníkového profilu, opálový kryt,  LED 31W, 4400lm, Ra80, 4000K, IP20</t>
  </si>
  <si>
    <t>457</t>
  </si>
  <si>
    <t>R210204</t>
  </si>
  <si>
    <t>SVÍTIDLO "B2" Závěsné LED svítidlo z hliníkového profilu, opálový kryt,  LED 47W, 6200lm, Ra80, 4000K, IP20</t>
  </si>
  <si>
    <t>458</t>
  </si>
  <si>
    <t>R210205</t>
  </si>
  <si>
    <t>SVÍTIDLO "C" Vestavné LED svítidlo modul 600, mikroprizmatický kryt, hliníkový rámeček, LED 57W, 6600lm, Ra80, 4000K, IP40, DALI</t>
  </si>
  <si>
    <t>459</t>
  </si>
  <si>
    <t>R210206</t>
  </si>
  <si>
    <t>SVÍTIDLO "C1" Přisazené LED svítidlo modul 600, mikroprizmatický kryt, hliníkový rámeček, LED 57W, 6600lm, Ra80, 4000K, IP40</t>
  </si>
  <si>
    <t>460</t>
  </si>
  <si>
    <t>SVÍTIDLO "C1+" Přisazené LED svítidlo modul 600, mikroprizmatický kryt, hliníkový rámeček, LED 57W, 6600lm, Ra80, 4000K, IP40</t>
  </si>
  <si>
    <t>+ rámeček pro přisazenou montáž ke stropu</t>
  </si>
  <si>
    <t>461</t>
  </si>
  <si>
    <t>R210208</t>
  </si>
  <si>
    <t>SVÍTIDLO "D" Liniové LED svítidlo, asymetrická optika, LED, 37W, 5800lm, Ra80, 4000K, IP23, DALI</t>
  </si>
  <si>
    <t>462</t>
  </si>
  <si>
    <t>SVÍTIDLO "E1" LED downlight, širokozářič, hliníkový korpus, LED, 10W, 1050lm, Ra80, 4000K, IP40</t>
  </si>
  <si>
    <t>463</t>
  </si>
  <si>
    <t>SVÍTIDLO "E2" LED downlight, širokozářič, hliníkový korpus, LED, 14W, 1500lm, Ra80, 4000K, IP40</t>
  </si>
  <si>
    <t>464</t>
  </si>
  <si>
    <t>R210211</t>
  </si>
  <si>
    <t>SVÍTIDLO "FN" Přisazené kruhové LED svítidlo, opálový PMMA kryt, LED 27W, 3000lm, Ra80, 4000K, IP44, nouzový zdroj 1hod.</t>
  </si>
  <si>
    <t>465</t>
  </si>
  <si>
    <t>R210212</t>
  </si>
  <si>
    <t>SVÍTIDLO "G" Přisazené LED svítidlo, opálový kryt, LED 36W, 5400lm, Ra80, 4000K, IP54</t>
  </si>
  <si>
    <t>466</t>
  </si>
  <si>
    <t>R210213</t>
  </si>
  <si>
    <t>SVÍTIDLO "N1", Přisazené LED nouzové svítidlo EXIT s piktogramem, 3W, 320lm, Ra80, 4000K, IP65, 1 hod., autotest</t>
  </si>
  <si>
    <t>467</t>
  </si>
  <si>
    <t>R210214</t>
  </si>
  <si>
    <t>SVÍTIDLO "N1.1", Přisazené LED nouzové svítidlo EXIT s piktogramem, 3W, 320lm, Ra80, 4000K, IP65, 1 hod., autotest</t>
  </si>
  <si>
    <t>+ příslušenství pro závěsnou montáž</t>
  </si>
  <si>
    <t>468</t>
  </si>
  <si>
    <t>R210215</t>
  </si>
  <si>
    <t>SVÍTIDLO "N1", Přisazené LED nouzové svítidlo EXIT, 3W, 320lm, Ra80, 4000K, IP65, 1 hod., autotest</t>
  </si>
  <si>
    <t>469</t>
  </si>
  <si>
    <t>R210216</t>
  </si>
  <si>
    <t>SVÍTIDLO "NH", Přisazené LED nouzové svítidlo, 3W, 320lm, Ra80, 4000K, IP65, 1 hod., autotest, označení hasícího zařízení</t>
  </si>
  <si>
    <t>470</t>
  </si>
  <si>
    <t>R210217</t>
  </si>
  <si>
    <t>SVÍTIDLO "N2", Zapuštěné LED nouzové svítidlo, universální optika - otevřený prostor, 3W, 325lm, Ra80,  IP40, svítící pří výpadku, 1hod.</t>
  </si>
  <si>
    <t>471</t>
  </si>
  <si>
    <t>R210218</t>
  </si>
  <si>
    <t>SVÍTIDLO "N3", Zapuštěné LED nouzové svítidlo, optika pro únikové cesty, 3W, 340lm, Ra80,  IP40, svítící pří výpadku, 1hod.</t>
  </si>
  <si>
    <t>472</t>
  </si>
  <si>
    <t>R210219</t>
  </si>
  <si>
    <t>Montáž svítidel</t>
  </si>
  <si>
    <t>473</t>
  </si>
  <si>
    <t>61IM</t>
  </si>
  <si>
    <t>Spínač, řazení 1, IP20, zapuštěná montáž</t>
  </si>
  <si>
    <t>474</t>
  </si>
  <si>
    <t>62IM</t>
  </si>
  <si>
    <t>Sériový přepínač, řazení 5, IP20, zapuštěná montáž</t>
  </si>
  <si>
    <t>475</t>
  </si>
  <si>
    <t>63IM</t>
  </si>
  <si>
    <t>Ovladač žaluziový jednopólový,řazení 1/0+1/0 s blokováním, IP20</t>
  </si>
  <si>
    <t>476</t>
  </si>
  <si>
    <t>64IM</t>
  </si>
  <si>
    <t>Zásuvka jednonásobná 230V/16A, IP20, zapuštěná, bílá</t>
  </si>
  <si>
    <t>477</t>
  </si>
  <si>
    <t>65IM</t>
  </si>
  <si>
    <t>Zásuvka jednonásobná 230V/16A+přepěťová ochrana, IP20, zapuštěná, barevně odlišená (RAL 3003), PC</t>
  </si>
  <si>
    <t>478</t>
  </si>
  <si>
    <t>66IM</t>
  </si>
  <si>
    <t>Zásuvka jednonásobná 230V/16A chráněná proti přepětí, IP20, zapuštěná, barevně odlišená (RAL 3003), PC</t>
  </si>
  <si>
    <t>479</t>
  </si>
  <si>
    <t>67IM</t>
  </si>
  <si>
    <t>Zásuvka jednonásobná 230V/16A, IP44, zapuštěná montáž, bílá</t>
  </si>
  <si>
    <t>480</t>
  </si>
  <si>
    <t>68IM</t>
  </si>
  <si>
    <t>Stropní přítomnostní detektor DALI - "Sm", kompakt, master, FC zapuštěná montáž, IP20, 360°, 240 V AC, dosah: max. o24m kř</t>
  </si>
  <si>
    <t>481</t>
  </si>
  <si>
    <t>69IM</t>
  </si>
  <si>
    <t>Stropní přítomnostní detektor DALI - "Ss", kompakt, slave, FC zapuštěná montáž, IP20, 360°, 22 V DC přes sběrni</t>
  </si>
  <si>
    <t>482</t>
  </si>
  <si>
    <t>70IM</t>
  </si>
  <si>
    <t>Stropní pohybový detektor - "Sp", FC zapuštěná montáž, IP23, 360°, dosah: max. o10m křížem, max. o6m přímo, max. o4m sedící,</t>
  </si>
  <si>
    <t>483</t>
  </si>
  <si>
    <t>71IM</t>
  </si>
  <si>
    <t>Stropní pohybový detektor na povrch - "Sp", SM montáž na povrch, IP44, 360°, dosah: max. o10m křížem, max. o6m přímo, max. o4m sedící,</t>
  </si>
  <si>
    <t>484</t>
  </si>
  <si>
    <t>72IM</t>
  </si>
  <si>
    <t>Stropní pohybový detektor na povrch - "Sb", FC zapuštěná montáž, IP23        360°, dosah : max. o8m křížem, max. o4,8m přímo, max. o3,2m sedící, 15s-6</t>
  </si>
  <si>
    <t>485</t>
  </si>
  <si>
    <t>73IM</t>
  </si>
  <si>
    <t>Stropní pohybový detektor na povrch - "Sh", FC zapuštěná montáž, IP23        360°, (1 kanál pro ovl. osvětlení + 1 kontakt pro HVAC, provedeni "master</t>
  </si>
  <si>
    <t>486</t>
  </si>
  <si>
    <t>74IM</t>
  </si>
  <si>
    <t>Odrušovací člen</t>
  </si>
  <si>
    <t>487</t>
  </si>
  <si>
    <t>75IM</t>
  </si>
  <si>
    <t>Sada pro pohybový stropní detektor pro přisazenou montáž</t>
  </si>
  <si>
    <t>488</t>
  </si>
  <si>
    <t>76IM</t>
  </si>
  <si>
    <t>Nastavení učeben technik BEG</t>
  </si>
  <si>
    <t>489</t>
  </si>
  <si>
    <t>77IM</t>
  </si>
  <si>
    <t>El.instalační krabice přístrojová pod omítku, KP 67/2_KA</t>
  </si>
  <si>
    <t>490</t>
  </si>
  <si>
    <t>78IM</t>
  </si>
  <si>
    <t>El.instalační krabice odbočná s víčkem pod omítku KU 68-1903</t>
  </si>
  <si>
    <t>491</t>
  </si>
  <si>
    <t>79IM</t>
  </si>
  <si>
    <t>Odbočná el.instalační krabice na povrch, IP44 (v podhledech)</t>
  </si>
  <si>
    <t>492</t>
  </si>
  <si>
    <t>80IM</t>
  </si>
  <si>
    <t>Sada pro nouzovou signalizaci, 230 V AC, 50/60 Hz, kontrolní modul s alarmem, tlačítko signální tahové, tlačítko resetova</t>
  </si>
  <si>
    <t>493</t>
  </si>
  <si>
    <t>81IM</t>
  </si>
  <si>
    <t>Orientační hlasový majáček pro nevidomé, 230 V AC, 50/60 Hz, akustické hlášení, zvukové nahrávky, otevření dveří</t>
  </si>
  <si>
    <t>494</t>
  </si>
  <si>
    <t>82IM</t>
  </si>
  <si>
    <t>Automatický skupinový splachovač pisoárů, nerez, 230V (SLP 05NZ)</t>
  </si>
  <si>
    <t>495</t>
  </si>
  <si>
    <t>83IM</t>
  </si>
  <si>
    <t>Hlavní přípojnice ekvipotenciální HOP</t>
  </si>
  <si>
    <t>496</t>
  </si>
  <si>
    <t>84IM</t>
  </si>
  <si>
    <t>Přípojnice ekvipotenciální pomocná</t>
  </si>
  <si>
    <t>497</t>
  </si>
  <si>
    <t>85IM</t>
  </si>
  <si>
    <t>498</t>
  </si>
  <si>
    <t>M85IM</t>
  </si>
  <si>
    <t>Montáž instalačního materiálu</t>
  </si>
  <si>
    <t>499</t>
  </si>
  <si>
    <t>89IM</t>
  </si>
  <si>
    <t>zkušební svorka</t>
  </si>
  <si>
    <t>500</t>
  </si>
  <si>
    <t>88IM</t>
  </si>
  <si>
    <t>podpěra vedení do zdiva (obvodová konstrukce)</t>
  </si>
  <si>
    <t>501</t>
  </si>
  <si>
    <t>87IM</t>
  </si>
  <si>
    <t>okapová svorka</t>
  </si>
  <si>
    <t>502</t>
  </si>
  <si>
    <t>86IM</t>
  </si>
  <si>
    <t>PV na plochy střechy</t>
  </si>
  <si>
    <t>503</t>
  </si>
  <si>
    <t>svorky na falc se zvětšenou plochou připojení</t>
  </si>
  <si>
    <t>504</t>
  </si>
  <si>
    <t>jímací tyč AlMgSi, 1,5m, betonový podstavec +  podložka</t>
  </si>
  <si>
    <t>505</t>
  </si>
  <si>
    <t>spojka vedení AlMgSi</t>
  </si>
  <si>
    <t>506</t>
  </si>
  <si>
    <t>jímací vedení AlMgSi D8</t>
  </si>
  <si>
    <t>507</t>
  </si>
  <si>
    <t>drát FeZn D10</t>
  </si>
  <si>
    <t>508</t>
  </si>
  <si>
    <t>93IM</t>
  </si>
  <si>
    <t>označovací štítek</t>
  </si>
  <si>
    <t>509</t>
  </si>
  <si>
    <t>92IM</t>
  </si>
  <si>
    <t>svorka 8-10/8-10 zemní</t>
  </si>
  <si>
    <t>510</t>
  </si>
  <si>
    <t>91IM</t>
  </si>
  <si>
    <t>podpěra zaváděcí tyče</t>
  </si>
  <si>
    <t>511</t>
  </si>
  <si>
    <t>90IM</t>
  </si>
  <si>
    <t>zaváděcí tyč nerez 16/1500</t>
  </si>
  <si>
    <t>512</t>
  </si>
  <si>
    <t>Montáž hromosvodu vč. uzemnění</t>
  </si>
  <si>
    <t>513</t>
  </si>
  <si>
    <t>103IM</t>
  </si>
  <si>
    <t>Provedení revize a vypracování revizní zprávy</t>
  </si>
  <si>
    <t>S01D_Â _</t>
  </si>
  <si>
    <t>514</t>
  </si>
  <si>
    <t>104IM</t>
  </si>
  <si>
    <t>Přezkoušení a seřízení zařízení, uvedení do provozu</t>
  </si>
  <si>
    <t>515</t>
  </si>
  <si>
    <t>105IM</t>
  </si>
  <si>
    <t>Dokumentace skutečného provedení</t>
  </si>
  <si>
    <t>107IM</t>
  </si>
  <si>
    <t>Podružné práce - podružným materiálem jsou myšleny hmo</t>
  </si>
  <si>
    <t>podružným materiálem jsou myšleny hmoždinky, vruty, šrouby, kabelová oka, dutinky, svazovací pásky, příchytky pro vodiče a kabely, pomocná ocelová konstrukce a další výše nespecifikovaný materiál potřebný ke zdárnému a funkčnímu dokončení díla  - všechna el. zařízení, systémy a konstrukce budou oceňovány     a dodávány plně funkční, tj. včetně všech komponentů, upevňovacích prvků, podpor a prostupů atd.</t>
  </si>
  <si>
    <t>517</t>
  </si>
  <si>
    <t>S01E_1_</t>
  </si>
  <si>
    <t>S01E_</t>
  </si>
  <si>
    <t>kopané sondy</t>
  </si>
  <si>
    <t>46*0,8*0,8</t>
  </si>
  <si>
    <t>výkop rýhy</t>
  </si>
  <si>
    <t>518</t>
  </si>
  <si>
    <t>132201110R00</t>
  </si>
  <si>
    <t>Hloubení rýh š.do 60 cm v hor.3 do 50 m3, STROJNĚ</t>
  </si>
  <si>
    <t>22*0,8*0,8</t>
  </si>
  <si>
    <t>519</t>
  </si>
  <si>
    <t>132201119R00</t>
  </si>
  <si>
    <t>Přípl.za lepivost,hloubení rýh 60 cm,hor.3,STROJNĚ</t>
  </si>
  <si>
    <t>520</t>
  </si>
  <si>
    <t>161101501R00</t>
  </si>
  <si>
    <t>Svislé přemístění výkopku z hor. 1-4 ruční</t>
  </si>
  <si>
    <t>12+29,44</t>
  </si>
  <si>
    <t>521</t>
  </si>
  <si>
    <t>161101101R00</t>
  </si>
  <si>
    <t>Svislé přemístění výkopku z hor.1-4 do 2,5 m</t>
  </si>
  <si>
    <t>14,08</t>
  </si>
  <si>
    <t>522</t>
  </si>
  <si>
    <t>162201102R00</t>
  </si>
  <si>
    <t>Vodorovné přemístění výkopku z hor.1-4 do 50 m</t>
  </si>
  <si>
    <t>24,76</t>
  </si>
  <si>
    <t>523</t>
  </si>
  <si>
    <t>162201203R00</t>
  </si>
  <si>
    <t>Vodorovné přemíst.výkopku, kolečko hor.1-4, do 10m</t>
  </si>
  <si>
    <t>524</t>
  </si>
  <si>
    <t>451572111R00</t>
  </si>
  <si>
    <t>Lože pod potrubí z kameniva těženého 0 - 4 mm</t>
  </si>
  <si>
    <t>68*0,8*0,1</t>
  </si>
  <si>
    <t>525</t>
  </si>
  <si>
    <t>175100020RAC</t>
  </si>
  <si>
    <t>Obsyp potrubí štěrkopískem</t>
  </si>
  <si>
    <t>dovoz štěrkopísku</t>
  </si>
  <si>
    <t>16,32</t>
  </si>
  <si>
    <t>526</t>
  </si>
  <si>
    <t>22*0,8*0,4</t>
  </si>
  <si>
    <t>2*3</t>
  </si>
  <si>
    <t>527</t>
  </si>
  <si>
    <t>174101101R00</t>
  </si>
  <si>
    <t>Zásyp jam, rýh, šachet se zhutněním</t>
  </si>
  <si>
    <t>46*0,8*0,4</t>
  </si>
  <si>
    <t>Hloubení pro podzemní stěny, ražení a hloubení důlní</t>
  </si>
  <si>
    <t>528</t>
  </si>
  <si>
    <t>199000005R00</t>
  </si>
  <si>
    <t>Poplatek za skládku zeminy 1- 4</t>
  </si>
  <si>
    <t>19_</t>
  </si>
  <si>
    <t>24,76*1,8</t>
  </si>
  <si>
    <t>529</t>
  </si>
  <si>
    <t>713552131R00</t>
  </si>
  <si>
    <t>Protipožární trubní ucpávka,</t>
  </si>
  <si>
    <t>S01E_71_</t>
  </si>
  <si>
    <t>DN32</t>
  </si>
  <si>
    <t>DN40</t>
  </si>
  <si>
    <t>1´´</t>
  </si>
  <si>
    <t>2´´</t>
  </si>
  <si>
    <t>530</t>
  </si>
  <si>
    <t>R764701244R00</t>
  </si>
  <si>
    <t>Výsek a montáž odbočné tvarovky dodávka a montáž</t>
  </si>
  <si>
    <t>S01E_72_</t>
  </si>
  <si>
    <t>200/100</t>
  </si>
  <si>
    <t>200/160</t>
  </si>
  <si>
    <t>531</t>
  </si>
  <si>
    <t>721176115R00</t>
  </si>
  <si>
    <t>Potrubí HT odpadní svislé, D 110 x 2,7 mm</t>
  </si>
  <si>
    <t>532</t>
  </si>
  <si>
    <t>721176114R00</t>
  </si>
  <si>
    <t>Potrubí HT odpadní svislé, D 75 x 1,9 mm</t>
  </si>
  <si>
    <t>533</t>
  </si>
  <si>
    <t>721176113R00</t>
  </si>
  <si>
    <t>Potrubí HT odpadní svislé, D 50 x 1,8 mm</t>
  </si>
  <si>
    <t>534</t>
  </si>
  <si>
    <t>721273200RT3</t>
  </si>
  <si>
    <t>Souprava ventilační střešní HT</t>
  </si>
  <si>
    <t>souprava větrací hlavice   D 110 mm</t>
  </si>
  <si>
    <t>535</t>
  </si>
  <si>
    <t>721273200RT1</t>
  </si>
  <si>
    <t>souprava větrací hlavice  D 50 mm</t>
  </si>
  <si>
    <t>536</t>
  </si>
  <si>
    <t>721176232R00</t>
  </si>
  <si>
    <t>Potrubí KG svodné (ležaté) zavěšené, D 110 x 3,2 mm</t>
  </si>
  <si>
    <t>537</t>
  </si>
  <si>
    <t>721176103R00</t>
  </si>
  <si>
    <t>Potrubí HT připojovací, D 50 x 1,8 mm</t>
  </si>
  <si>
    <t xml:space="preserve">zavěšené
</t>
  </si>
  <si>
    <t>8+8</t>
  </si>
  <si>
    <t>538</t>
  </si>
  <si>
    <t>721176102R00</t>
  </si>
  <si>
    <t>Potrubí HT připojovací, D 40 x 1,8 mm</t>
  </si>
  <si>
    <t>539</t>
  </si>
  <si>
    <t>721176101R00</t>
  </si>
  <si>
    <t>Potrubí HT připojovací, D 32 x 1,8 mm</t>
  </si>
  <si>
    <t>zavěšené</t>
  </si>
  <si>
    <t>2+5</t>
  </si>
  <si>
    <t>540</t>
  </si>
  <si>
    <t>721176105R00</t>
  </si>
  <si>
    <t>Potrubí HT připojovací, D 110 x 2,7 mm</t>
  </si>
  <si>
    <t>541</t>
  </si>
  <si>
    <t>721290111R00</t>
  </si>
  <si>
    <t>Zkouška těsnosti kanalizace vodou DN 125 mm</t>
  </si>
  <si>
    <t>542</t>
  </si>
  <si>
    <t>721194109R00</t>
  </si>
  <si>
    <t>Vyvedení odpadních výpustek, D 110 x 2,3 mm</t>
  </si>
  <si>
    <t>543</t>
  </si>
  <si>
    <t>721194105R00</t>
  </si>
  <si>
    <t>Vyvedení odpadních výpustek, D 50 x 1,8 mm</t>
  </si>
  <si>
    <t>544</t>
  </si>
  <si>
    <t>721194104R00</t>
  </si>
  <si>
    <t>Vyvedení odpadních výpustek, D 40 x 1,8 mm</t>
  </si>
  <si>
    <t>545</t>
  </si>
  <si>
    <t>721194103R00</t>
  </si>
  <si>
    <t>Vyvedení odpadních výpustek, D 32 x 1,8 mm</t>
  </si>
  <si>
    <t>546</t>
  </si>
  <si>
    <t>R721</t>
  </si>
  <si>
    <t>Připojení stoupačky dešť. kanalizace ke střešnímu vtoku</t>
  </si>
  <si>
    <t>547</t>
  </si>
  <si>
    <t>727212158R00</t>
  </si>
  <si>
    <t>Manžeta protipožární PVC (šedé) D 80 mm</t>
  </si>
  <si>
    <t>548</t>
  </si>
  <si>
    <t>727212156R00</t>
  </si>
  <si>
    <t>Manžeta protipožární PVC (šedé) D 50 mm</t>
  </si>
  <si>
    <t>549</t>
  </si>
  <si>
    <t>727212159R00</t>
  </si>
  <si>
    <t>Manžeta protipožární PVC (šedé) D 100 mm</t>
  </si>
  <si>
    <t>550</t>
  </si>
  <si>
    <t>721242111R00</t>
  </si>
  <si>
    <t>Lapač střešních splavenin PP HL660 D 110 mm</t>
  </si>
  <si>
    <t>551</t>
  </si>
  <si>
    <t>R764701</t>
  </si>
  <si>
    <t>Výsek stávajícího potrubí v prostoru šachty (KT200)</t>
  </si>
  <si>
    <t>552</t>
  </si>
  <si>
    <t>R7647012</t>
  </si>
  <si>
    <t>Připojení stávajícího potrubí do šachty</t>
  </si>
  <si>
    <t>KT 200</t>
  </si>
  <si>
    <t>553</t>
  </si>
  <si>
    <t>R764703</t>
  </si>
  <si>
    <t>Připojení potrubí PVC do šachty</t>
  </si>
  <si>
    <t>PVC DN160</t>
  </si>
  <si>
    <t>PVC DN200</t>
  </si>
  <si>
    <t>554</t>
  </si>
  <si>
    <t>722190226R00</t>
  </si>
  <si>
    <t>Přípojky vodovodní pro pevné připojení DN 63 mm</t>
  </si>
  <si>
    <t>napojení na stávající přívod</t>
  </si>
  <si>
    <t>555</t>
  </si>
  <si>
    <t>R722KK</t>
  </si>
  <si>
    <t>Dodávka a montáž nástěnného ventilu s hadicovou přípojkou</t>
  </si>
  <si>
    <t>556</t>
  </si>
  <si>
    <t>28650976</t>
  </si>
  <si>
    <t>Objímka na potrubí</t>
  </si>
  <si>
    <t>557</t>
  </si>
  <si>
    <t>722171216R00</t>
  </si>
  <si>
    <t>Potrubí plastové PE-HD vodovodní, D 63 x 5,8 mm</t>
  </si>
  <si>
    <t>558</t>
  </si>
  <si>
    <t>722172335R00</t>
  </si>
  <si>
    <t>Potrubí plastové PP-R, včetně zednických výpomocí, D 50 x 8,3 mm, PN 20</t>
  </si>
  <si>
    <t>559</t>
  </si>
  <si>
    <t>722172615R00</t>
  </si>
  <si>
    <t>Potrubí plastové PP-R, bez zednických výpomocí, D 50 x 6,9 mm, PN 16</t>
  </si>
  <si>
    <t>560</t>
  </si>
  <si>
    <t>722172414R00</t>
  </si>
  <si>
    <t>Potrubí plastové PP-R, včetně zednických výpomocí, D 40 x 5,5 mm, PN 16</t>
  </si>
  <si>
    <t>561</t>
  </si>
  <si>
    <t>722172614R00</t>
  </si>
  <si>
    <t>Potrubí plastové PP-R, bez zednických výpomocí, D 40 x 5,5 mm, PN 16</t>
  </si>
  <si>
    <t>562</t>
  </si>
  <si>
    <t>722172413R00</t>
  </si>
  <si>
    <t>Potrubí plastové PP-R, včetně zednických výpomocí, D 32 x 4,4 mm, PN 16</t>
  </si>
  <si>
    <t>25+4</t>
  </si>
  <si>
    <t>563</t>
  </si>
  <si>
    <t>722172613R00</t>
  </si>
  <si>
    <t>Potrubí plastové PP-R, bez zednických výpomocí, D 32 x 4,4 mm, PN 16</t>
  </si>
  <si>
    <t>564</t>
  </si>
  <si>
    <t>722172412R00</t>
  </si>
  <si>
    <t>Potrubí plastové PP-R , včetně zednických výpomocí, D 25 x 3,5 mm, PN 16</t>
  </si>
  <si>
    <t>30+20</t>
  </si>
  <si>
    <t>565</t>
  </si>
  <si>
    <t>722172612R00</t>
  </si>
  <si>
    <t>Potrubí plastové PP-R, bez zednických výpomocí, D 25 x 3,5 mm, PN 16</t>
  </si>
  <si>
    <t>8+10</t>
  </si>
  <si>
    <t>566</t>
  </si>
  <si>
    <t>722172411R00</t>
  </si>
  <si>
    <t>Potrubí plastové PP-R, včetně zednických výpomocí, D 20 x 2,8 mm, PN 16</t>
  </si>
  <si>
    <t>567</t>
  </si>
  <si>
    <t>722172611R00</t>
  </si>
  <si>
    <t>Potrubí plastové PP-R, bez zednických výpomocí, D 20 x 2,8 mm, PN 16</t>
  </si>
  <si>
    <t>5+8</t>
  </si>
  <si>
    <t>568</t>
  </si>
  <si>
    <t>722130236R00</t>
  </si>
  <si>
    <t>Potrubí z trubek závitových pozinkovaných svařovaných 11 343, DN 50 mm</t>
  </si>
  <si>
    <t>10+20</t>
  </si>
  <si>
    <t>569</t>
  </si>
  <si>
    <t>722130235R00</t>
  </si>
  <si>
    <t>Potrubí z trubek závitových pozinkovaných svařovaných 11 343, DN 40 mm</t>
  </si>
  <si>
    <t>570</t>
  </si>
  <si>
    <t>722130234R00</t>
  </si>
  <si>
    <t>Potrubí z trubek závitových pozinkovaných svařovaných 11 343, DN 32 mm</t>
  </si>
  <si>
    <t>571</t>
  </si>
  <si>
    <t>722181243RT7</t>
  </si>
  <si>
    <t>Izolace návleková MIRELON STABIL tl. stěny 13 mm</t>
  </si>
  <si>
    <t>vnitřní průměr 22 mm</t>
  </si>
  <si>
    <t>572</t>
  </si>
  <si>
    <t>722181243RT8</t>
  </si>
  <si>
    <t>vnitřní průměr 25 mm</t>
  </si>
  <si>
    <t>573</t>
  </si>
  <si>
    <t>722181243RU1</t>
  </si>
  <si>
    <t>vnitřní průměr 32 mm</t>
  </si>
  <si>
    <t>33+22</t>
  </si>
  <si>
    <t>574</t>
  </si>
  <si>
    <t>722181243RV9</t>
  </si>
  <si>
    <t>vnitřní průměr 40 mm</t>
  </si>
  <si>
    <t>5+3</t>
  </si>
  <si>
    <t>575</t>
  </si>
  <si>
    <t>722181243RW6</t>
  </si>
  <si>
    <t>vnitřní průměr 50 mm</t>
  </si>
  <si>
    <t>576</t>
  </si>
  <si>
    <t>722181243RY3</t>
  </si>
  <si>
    <t>vnitřní průměr 63 mm</t>
  </si>
  <si>
    <t>577</t>
  </si>
  <si>
    <t>R722181235RT7</t>
  </si>
  <si>
    <t>Izolace návleková tl. stěny 30 mm</t>
  </si>
  <si>
    <t>578</t>
  </si>
  <si>
    <t>R722181235RT8</t>
  </si>
  <si>
    <t>Izolace návleková tl. stěny 35 mm</t>
  </si>
  <si>
    <t>579</t>
  </si>
  <si>
    <t>R722181235RU1</t>
  </si>
  <si>
    <t>Izolace návleková  tl. stěny 40 mm</t>
  </si>
  <si>
    <t>722220111R00</t>
  </si>
  <si>
    <t>Nástěnka</t>
  </si>
  <si>
    <t>581</t>
  </si>
  <si>
    <t>722290234R00</t>
  </si>
  <si>
    <t>Proplach a dezinfekce vodovodního potrubí</t>
  </si>
  <si>
    <t>582</t>
  </si>
  <si>
    <t>722290226R00</t>
  </si>
  <si>
    <t>Zkouška tlaku potrubí</t>
  </si>
  <si>
    <t>583</t>
  </si>
  <si>
    <t>725814101R00</t>
  </si>
  <si>
    <t>Ventil rohový s filtrem DN 15 mm x DN 10 mm</t>
  </si>
  <si>
    <t>584</t>
  </si>
  <si>
    <t>725823111RT1</t>
  </si>
  <si>
    <t>Baterie umyvadlová stojánková, ruční, bez otvírání odpadu</t>
  </si>
  <si>
    <t>standardní</t>
  </si>
  <si>
    <t>585</t>
  </si>
  <si>
    <t>725825111RT0</t>
  </si>
  <si>
    <t>Baterie umyvadlová nástěnná ruční s dlouhým ramenem</t>
  </si>
  <si>
    <t>základní</t>
  </si>
  <si>
    <t>pro výlevku</t>
  </si>
  <si>
    <t>586</t>
  </si>
  <si>
    <t>725845111RT1</t>
  </si>
  <si>
    <t>Baterie stojínková páková pro ZTP, dodávka a montáž</t>
  </si>
  <si>
    <t>587</t>
  </si>
  <si>
    <t>725850145R00</t>
  </si>
  <si>
    <t>Sifon kondenzační HL 136N, DN 40 mm, vodorovný odtok</t>
  </si>
  <si>
    <t>zápachová uzávěrka</t>
  </si>
  <si>
    <t>588</t>
  </si>
  <si>
    <t>725851001R00</t>
  </si>
  <si>
    <t>Odtoková souprava s ventilem HL24 D 40 mm</t>
  </si>
  <si>
    <t>souprava odpadní umyvadlová</t>
  </si>
  <si>
    <t>589</t>
  </si>
  <si>
    <t>725219401R00</t>
  </si>
  <si>
    <t>Montáž umyvadel na šrouby do zdiva</t>
  </si>
  <si>
    <t>590</t>
  </si>
  <si>
    <t>R7250UM</t>
  </si>
  <si>
    <t>Umyvadlo na šrouby, dodávka diturvitové</t>
  </si>
  <si>
    <t>cenová hladina standart</t>
  </si>
  <si>
    <t>591</t>
  </si>
  <si>
    <t>Umyvadlo na šrouby, dodávka pro osoby ZTP</t>
  </si>
  <si>
    <t>592</t>
  </si>
  <si>
    <t>725339101R00</t>
  </si>
  <si>
    <t>Montáž výlevky, bez nádrže a armatur,</t>
  </si>
  <si>
    <t>výlevka nástěnná včetně dodávky</t>
  </si>
  <si>
    <t>593</t>
  </si>
  <si>
    <t>64271101</t>
  </si>
  <si>
    <t>Výlevka keramická stojící se sklopnou plastovou mřížkou</t>
  </si>
  <si>
    <t>594</t>
  </si>
  <si>
    <t>725119401R00</t>
  </si>
  <si>
    <t>Montáž předstěnových systémů pro zazdění</t>
  </si>
  <si>
    <t>včetně dodávky systému + tlačítko</t>
  </si>
  <si>
    <t>wc</t>
  </si>
  <si>
    <t>bidet</t>
  </si>
  <si>
    <t>595</t>
  </si>
  <si>
    <t>725119306R00</t>
  </si>
  <si>
    <t>Montáž klozetu závěsného</t>
  </si>
  <si>
    <t>včetně dodávky klozetu</t>
  </si>
  <si>
    <t>596</t>
  </si>
  <si>
    <t>R7251S</t>
  </si>
  <si>
    <t>Dodávka a montáž sedátka ke klozetu</t>
  </si>
  <si>
    <t>597</t>
  </si>
  <si>
    <t>725122221R00</t>
  </si>
  <si>
    <t>Pisoár s automatickým splachovačem,</t>
  </si>
  <si>
    <t>pisoár nástěný s předstěnovou instalací kpl dle ZTI</t>
  </si>
  <si>
    <t>598</t>
  </si>
  <si>
    <t>725100028RA0</t>
  </si>
  <si>
    <t>Bidet závěsný, s baterií</t>
  </si>
  <si>
    <t>599</t>
  </si>
  <si>
    <t>725334301R00</t>
  </si>
  <si>
    <t>Odpadní souprava pro pisoár, dodávka a montáž</t>
  </si>
  <si>
    <t>600</t>
  </si>
  <si>
    <t>R286565266</t>
  </si>
  <si>
    <t>Odpadní souprava pro bidet, dodávka a montáž</t>
  </si>
  <si>
    <t>601</t>
  </si>
  <si>
    <t>725100024RA0</t>
  </si>
  <si>
    <t>Klozet pro ZTP se zazděnou nádržkou</t>
  </si>
  <si>
    <t>602</t>
  </si>
  <si>
    <t>725534228R00</t>
  </si>
  <si>
    <t>Ohřívač elektrický, zásobníkový, závěsný, DZ OKCE 200</t>
  </si>
  <si>
    <t>603</t>
  </si>
  <si>
    <t>725534226R00</t>
  </si>
  <si>
    <t>Ohřívač elektrický, zásobníkový, závěsný, DZ OKCE 160</t>
  </si>
  <si>
    <t>604</t>
  </si>
  <si>
    <t>725534224R00</t>
  </si>
  <si>
    <t>Ohřívač elektrický, zásobníkový, závěsný, DZ OKCE 100</t>
  </si>
  <si>
    <t>605</t>
  </si>
  <si>
    <t>998725101R00</t>
  </si>
  <si>
    <t>Přesun hmot pro zařizovací předměty, výšky do 6 m</t>
  </si>
  <si>
    <t>Potrubí z trub plastických, skleněných a čedičových</t>
  </si>
  <si>
    <t>606</t>
  </si>
  <si>
    <t>871353121RT2</t>
  </si>
  <si>
    <t>Montáž trub z plastu, gumový kroužek, DN 200</t>
  </si>
  <si>
    <t>87_</t>
  </si>
  <si>
    <t>S01E_8_</t>
  </si>
  <si>
    <t>včetně dodávky trub PVC hrdlových 200x4,9x5000</t>
  </si>
  <si>
    <t>607</t>
  </si>
  <si>
    <t>871313121RT2</t>
  </si>
  <si>
    <t>Montáž trub z plastu, gumový kroužek, DN 150</t>
  </si>
  <si>
    <t>včetně dodávky trub PVC hrdlových 160x4,0x5000</t>
  </si>
  <si>
    <t>608</t>
  </si>
  <si>
    <t>871313121RT1</t>
  </si>
  <si>
    <t>včetně dodávky trub PVC hrdlových 110x3,0x5000</t>
  </si>
  <si>
    <t>609</t>
  </si>
  <si>
    <t>55113532002</t>
  </si>
  <si>
    <t>Kohout kulový s vypouštěním 2" páčka</t>
  </si>
  <si>
    <t>610</t>
  </si>
  <si>
    <t>55113434.A</t>
  </si>
  <si>
    <t>Kohout kulový  1" plnoprůtokový, ovládání páčka</t>
  </si>
  <si>
    <t>611</t>
  </si>
  <si>
    <t>551100203</t>
  </si>
  <si>
    <t>Klapka zpětná voda  1"</t>
  </si>
  <si>
    <t>612</t>
  </si>
  <si>
    <t>5511001847</t>
  </si>
  <si>
    <t>Ventil redukční tlakový s manometrem 1" MM</t>
  </si>
  <si>
    <t>Ostatní konstrukce a práce na trubním vedení</t>
  </si>
  <si>
    <t>613</t>
  </si>
  <si>
    <t>894431313RBB</t>
  </si>
  <si>
    <t>Šachta, D 425 mm, dl.šach.roury 1,50 m,</t>
  </si>
  <si>
    <t>89_</t>
  </si>
  <si>
    <t xml:space="preserve">dno KG D 160 mm, poklop C250
</t>
  </si>
  <si>
    <t>614</t>
  </si>
  <si>
    <t>974031164R00</t>
  </si>
  <si>
    <t>Vysekání rýh ve zdi cihelné 15 x 15 cm</t>
  </si>
  <si>
    <t>S01E_9_</t>
  </si>
  <si>
    <t>615</t>
  </si>
  <si>
    <t>974031153R00</t>
  </si>
  <si>
    <t>Vysekání rýh ve zdi cihelné 10 x 10 cm</t>
  </si>
  <si>
    <t>8+12+5</t>
  </si>
  <si>
    <t>20+20</t>
  </si>
  <si>
    <t>616</t>
  </si>
  <si>
    <t>974031142R00</t>
  </si>
  <si>
    <t>Vysekání rýh ve zdi cihelné 7 x 7 cm</t>
  </si>
  <si>
    <t>3+25+30+30</t>
  </si>
  <si>
    <t>3+22</t>
  </si>
  <si>
    <t>617</t>
  </si>
  <si>
    <t>12+65+123</t>
  </si>
  <si>
    <t>H27</t>
  </si>
  <si>
    <t>Vedení trubní dálková a přípojná</t>
  </si>
  <si>
    <t>618</t>
  </si>
  <si>
    <t>998276101R00</t>
  </si>
  <si>
    <t>Přesun hmot, trubní vedení plastová, otevř. výkop</t>
  </si>
  <si>
    <t>H27_</t>
  </si>
  <si>
    <t>H721</t>
  </si>
  <si>
    <t>619</t>
  </si>
  <si>
    <t>998721101R00</t>
  </si>
  <si>
    <t>Přesun hmot pro vnitřní kanalizaci, výšky do 6 m</t>
  </si>
  <si>
    <t>H721_</t>
  </si>
  <si>
    <t>H722</t>
  </si>
  <si>
    <t>620</t>
  </si>
  <si>
    <t>998722101R00</t>
  </si>
  <si>
    <t>Přesun hmot pro vnitřní vodovod, výšky do 6 m</t>
  </si>
  <si>
    <t>H722_</t>
  </si>
  <si>
    <t>M23</t>
  </si>
  <si>
    <t>Montáže potrubí</t>
  </si>
  <si>
    <t>621</t>
  </si>
  <si>
    <t>230170014R00</t>
  </si>
  <si>
    <t>Zkouška těsnosti potrubí, DN 150 - 200</t>
  </si>
  <si>
    <t>M23_</t>
  </si>
  <si>
    <t>622</t>
  </si>
  <si>
    <t>460490012R00</t>
  </si>
  <si>
    <t>Fólie výstražná z PVC, šířka 33 cm</t>
  </si>
  <si>
    <t>623</t>
  </si>
  <si>
    <t>979091211R00</t>
  </si>
  <si>
    <t>Vodorovné přemístění suti do 7 km</t>
  </si>
  <si>
    <t>624</t>
  </si>
  <si>
    <t>979091221R00</t>
  </si>
  <si>
    <t>Vodorovné přemístění suti za každý další 1 km</t>
  </si>
  <si>
    <t>44,568</t>
  </si>
  <si>
    <t>625</t>
  </si>
  <si>
    <t>626</t>
  </si>
  <si>
    <t>733191112R00</t>
  </si>
  <si>
    <t>Manžety prostupové pro trubky do DN 32</t>
  </si>
  <si>
    <t>S01E_73_</t>
  </si>
  <si>
    <t>prostup do šachty</t>
  </si>
  <si>
    <t>627</t>
  </si>
  <si>
    <t>734237135R00</t>
  </si>
  <si>
    <t>Ventil uzavírací na potrubí PPr DN 40</t>
  </si>
  <si>
    <t>628</t>
  </si>
  <si>
    <t>734237134R00</t>
  </si>
  <si>
    <t>Uzavírací ventil na portubí PPr 32</t>
  </si>
  <si>
    <t>629</t>
  </si>
  <si>
    <t>734237133R00</t>
  </si>
  <si>
    <t>Ventil uzavírací na potrubí PPr 25</t>
  </si>
  <si>
    <t>630</t>
  </si>
  <si>
    <t>734293115R00</t>
  </si>
  <si>
    <t>Ventil směšovací třícestný,DN 25</t>
  </si>
  <si>
    <t>631</t>
  </si>
  <si>
    <t>734293119R00</t>
  </si>
  <si>
    <t>Ventil směšovací třícestný,DN 63</t>
  </si>
  <si>
    <t>632</t>
  </si>
  <si>
    <t>734255145R00</t>
  </si>
  <si>
    <t>Ventil pojistný, DN 32 x 6,0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</si>
</sst>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00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theme="3" tint="0.89999084444715716"/>
        <bgColor indexed="64"/>
      </patternFill>
    </fill>
  </fills>
  <borders count="7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0" fontId="2" fillId="0" borderId="57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left" vertical="center"/>
    </xf>
    <xf numFmtId="4" fontId="2" fillId="0" borderId="66" xfId="0" applyNumberFormat="1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3" fillId="0" borderId="68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0" xfId="0" applyFont="1" applyBorder="1" applyAlignment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  <protection locked="0"/>
    </xf>
    <xf numFmtId="0" fontId="3" fillId="0" borderId="73" xfId="0" applyFont="1" applyBorder="1" applyAlignment="1">
      <alignment horizontal="center" vertical="center"/>
    </xf>
    <xf numFmtId="0" fontId="0" fillId="0" borderId="74" xfId="0" applyBorder="1"/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75" xfId="0" applyFont="1" applyBorder="1" applyAlignment="1">
      <alignment horizontal="left" vertical="center"/>
    </xf>
    <xf numFmtId="0" fontId="2" fillId="0" borderId="76" xfId="0" applyFont="1" applyBorder="1" applyAlignment="1">
      <alignment horizontal="left" vertical="center"/>
    </xf>
    <xf numFmtId="0" fontId="3" fillId="3" borderId="76" xfId="0" applyFont="1" applyFill="1" applyBorder="1" applyAlignment="1" applyProtection="1">
      <alignment horizontal="center" vertical="center"/>
      <protection locked="0"/>
    </xf>
    <xf numFmtId="0" fontId="3" fillId="0" borderId="77" xfId="0" applyFont="1" applyBorder="1" applyAlignment="1">
      <alignment horizontal="center" vertical="center"/>
    </xf>
    <xf numFmtId="0" fontId="0" fillId="0" borderId="78" xfId="0" applyBorder="1"/>
    <xf numFmtId="0" fontId="2" fillId="2" borderId="65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 applyProtection="1">
      <alignment horizontal="left" vertical="center"/>
      <protection locked="0"/>
    </xf>
    <xf numFmtId="4" fontId="3" fillId="2" borderId="40" xfId="0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0" fillId="0" borderId="6" xfId="0" applyBorder="1"/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10" fillId="0" borderId="8" xfId="0" applyFont="1" applyBorder="1" applyAlignment="1">
      <alignment horizontal="left" vertical="center"/>
    </xf>
    <xf numFmtId="4" fontId="10" fillId="0" borderId="8" xfId="0" applyNumberFormat="1" applyFont="1" applyBorder="1" applyAlignment="1">
      <alignment horizontal="right" vertical="center"/>
    </xf>
    <xf numFmtId="0" fontId="0" fillId="3" borderId="8" xfId="0" applyFill="1" applyBorder="1" applyProtection="1">
      <protection locked="0"/>
    </xf>
    <xf numFmtId="0" fontId="0" fillId="0" borderId="9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4" fontId="2" fillId="5" borderId="16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76" t="s">
        <v>0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 t="s">
        <v>1</v>
      </c>
      <c r="B2" s="79"/>
      <c r="C2" s="87" t="str">
        <f>'Stavební rozpočet'!D2</f>
        <v>Šluknov - bezbariérové úpravy objektu ZŠ  Žižkova</v>
      </c>
      <c r="D2" s="88"/>
      <c r="E2" s="85" t="s">
        <v>2</v>
      </c>
      <c r="F2" s="85" t="str">
        <f>'Stavební rozpočet'!J2</f>
        <v> </v>
      </c>
      <c r="G2" s="79"/>
      <c r="H2" s="85" t="s">
        <v>3</v>
      </c>
      <c r="I2" s="90" t="s">
        <v>4</v>
      </c>
    </row>
    <row r="3" spans="1:9" ht="15" customHeight="1" x14ac:dyDescent="0.25">
      <c r="A3" s="80"/>
      <c r="B3" s="81"/>
      <c r="C3" s="89"/>
      <c r="D3" s="89"/>
      <c r="E3" s="81"/>
      <c r="F3" s="81"/>
      <c r="G3" s="81"/>
      <c r="H3" s="81"/>
      <c r="I3" s="91"/>
    </row>
    <row r="4" spans="1:9" x14ac:dyDescent="0.25">
      <c r="A4" s="82" t="s">
        <v>5</v>
      </c>
      <c r="B4" s="81"/>
      <c r="C4" s="86" t="str">
        <f>'Stavební rozpočet'!D4</f>
        <v>Základní škola</v>
      </c>
      <c r="D4" s="81"/>
      <c r="E4" s="86" t="s">
        <v>6</v>
      </c>
      <c r="F4" s="86" t="str">
        <f>'Stavební rozpočet'!J4</f>
        <v> </v>
      </c>
      <c r="G4" s="81"/>
      <c r="H4" s="86" t="s">
        <v>3</v>
      </c>
      <c r="I4" s="91" t="s">
        <v>4</v>
      </c>
    </row>
    <row r="5" spans="1:9" ht="15" customHeight="1" x14ac:dyDescent="0.25">
      <c r="A5" s="80"/>
      <c r="B5" s="81"/>
      <c r="C5" s="81"/>
      <c r="D5" s="81"/>
      <c r="E5" s="81"/>
      <c r="F5" s="81"/>
      <c r="G5" s="81"/>
      <c r="H5" s="81"/>
      <c r="I5" s="91"/>
    </row>
    <row r="6" spans="1:9" x14ac:dyDescent="0.25">
      <c r="A6" s="82" t="s">
        <v>7</v>
      </c>
      <c r="B6" s="81"/>
      <c r="C6" s="86" t="str">
        <f>'Stavební rozpočet'!D6</f>
        <v>Město Šluknov</v>
      </c>
      <c r="D6" s="81"/>
      <c r="E6" s="86" t="s">
        <v>8</v>
      </c>
      <c r="F6" s="86" t="str">
        <f>'Stavební rozpočet'!J6</f>
        <v> </v>
      </c>
      <c r="G6" s="81"/>
      <c r="H6" s="86" t="s">
        <v>3</v>
      </c>
      <c r="I6" s="91" t="s">
        <v>4</v>
      </c>
    </row>
    <row r="7" spans="1:9" ht="15" customHeight="1" x14ac:dyDescent="0.25">
      <c r="A7" s="80"/>
      <c r="B7" s="81"/>
      <c r="C7" s="81"/>
      <c r="D7" s="81"/>
      <c r="E7" s="81"/>
      <c r="F7" s="81"/>
      <c r="G7" s="81"/>
      <c r="H7" s="81"/>
      <c r="I7" s="91"/>
    </row>
    <row r="8" spans="1:9" x14ac:dyDescent="0.25">
      <c r="A8" s="82" t="s">
        <v>9</v>
      </c>
      <c r="B8" s="81"/>
      <c r="C8" s="86" t="str">
        <f>'Stavební rozpočet'!H4</f>
        <v>25.03.2025</v>
      </c>
      <c r="D8" s="81"/>
      <c r="E8" s="86" t="s">
        <v>10</v>
      </c>
      <c r="F8" s="86" t="str">
        <f>'Stavební rozpočet'!H6</f>
        <v xml:space="preserve"> </v>
      </c>
      <c r="G8" s="81"/>
      <c r="H8" s="81" t="s">
        <v>11</v>
      </c>
      <c r="I8" s="92">
        <v>632</v>
      </c>
    </row>
    <row r="9" spans="1:9" x14ac:dyDescent="0.25">
      <c r="A9" s="80"/>
      <c r="B9" s="81"/>
      <c r="C9" s="81"/>
      <c r="D9" s="81"/>
      <c r="E9" s="81"/>
      <c r="F9" s="81"/>
      <c r="G9" s="81"/>
      <c r="H9" s="81"/>
      <c r="I9" s="91"/>
    </row>
    <row r="10" spans="1:9" x14ac:dyDescent="0.25">
      <c r="A10" s="82" t="s">
        <v>12</v>
      </c>
      <c r="B10" s="81"/>
      <c r="C10" s="86" t="str">
        <f>'Stavební rozpočet'!D8</f>
        <v xml:space="preserve"> </v>
      </c>
      <c r="D10" s="81"/>
      <c r="E10" s="86" t="s">
        <v>13</v>
      </c>
      <c r="F10" s="86" t="str">
        <f>'Stavební rozpočet'!J8</f>
        <v> </v>
      </c>
      <c r="G10" s="81"/>
      <c r="H10" s="81" t="s">
        <v>14</v>
      </c>
      <c r="I10" s="93" t="str">
        <f>'Stavební rozpočet'!H8</f>
        <v>25.03.2025</v>
      </c>
    </row>
    <row r="11" spans="1:9" x14ac:dyDescent="0.25">
      <c r="A11" s="83"/>
      <c r="B11" s="84"/>
      <c r="C11" s="84"/>
      <c r="D11" s="84"/>
      <c r="E11" s="84"/>
      <c r="F11" s="84"/>
      <c r="G11" s="84"/>
      <c r="H11" s="84"/>
      <c r="I11" s="94"/>
    </row>
    <row r="12" spans="1:9" ht="23.25" x14ac:dyDescent="0.25">
      <c r="A12" s="95" t="s">
        <v>15</v>
      </c>
      <c r="B12" s="95"/>
      <c r="C12" s="95"/>
      <c r="D12" s="95"/>
      <c r="E12" s="95"/>
      <c r="F12" s="95"/>
      <c r="G12" s="95"/>
      <c r="H12" s="95"/>
      <c r="I12" s="95"/>
    </row>
    <row r="13" spans="1:9" ht="26.25" customHeight="1" x14ac:dyDescent="0.25">
      <c r="A13" s="5" t="s">
        <v>16</v>
      </c>
      <c r="B13" s="96" t="s">
        <v>17</v>
      </c>
      <c r="C13" s="97"/>
      <c r="D13" s="6" t="s">
        <v>18</v>
      </c>
      <c r="E13" s="96" t="s">
        <v>19</v>
      </c>
      <c r="F13" s="97"/>
      <c r="G13" s="6" t="s">
        <v>20</v>
      </c>
      <c r="H13" s="96" t="s">
        <v>21</v>
      </c>
      <c r="I13" s="97"/>
    </row>
    <row r="14" spans="1:9" ht="15.75" x14ac:dyDescent="0.25">
      <c r="A14" s="7" t="s">
        <v>22</v>
      </c>
      <c r="B14" s="8" t="s">
        <v>23</v>
      </c>
      <c r="C14" s="9">
        <f>SUM('Stavební rozpočet'!AB12:AB1638)</f>
        <v>0</v>
      </c>
      <c r="D14" s="104" t="s">
        <v>24</v>
      </c>
      <c r="E14" s="105"/>
      <c r="F14" s="9">
        <f>VORN!I15</f>
        <v>0</v>
      </c>
      <c r="G14" s="104" t="s">
        <v>25</v>
      </c>
      <c r="H14" s="105"/>
      <c r="I14" s="10">
        <f>VORN!I21</f>
        <v>0</v>
      </c>
    </row>
    <row r="15" spans="1:9" ht="15.75" x14ac:dyDescent="0.25">
      <c r="A15" s="11" t="s">
        <v>4</v>
      </c>
      <c r="B15" s="8" t="s">
        <v>26</v>
      </c>
      <c r="C15" s="9">
        <f>SUM('Stavební rozpočet'!AC12:AC1638)</f>
        <v>0</v>
      </c>
      <c r="D15" s="104" t="s">
        <v>27</v>
      </c>
      <c r="E15" s="105"/>
      <c r="F15" s="9">
        <f>VORN!I16</f>
        <v>0</v>
      </c>
      <c r="G15" s="104" t="s">
        <v>28</v>
      </c>
      <c r="H15" s="105"/>
      <c r="I15" s="10">
        <f>VORN!I22</f>
        <v>0</v>
      </c>
    </row>
    <row r="16" spans="1:9" ht="15.75" x14ac:dyDescent="0.25">
      <c r="A16" s="7" t="s">
        <v>29</v>
      </c>
      <c r="B16" s="8" t="s">
        <v>23</v>
      </c>
      <c r="C16" s="9">
        <f>SUM('Stavební rozpočet'!AD12:AD1638)</f>
        <v>0</v>
      </c>
      <c r="D16" s="104" t="s">
        <v>30</v>
      </c>
      <c r="E16" s="105"/>
      <c r="F16" s="9">
        <f>VORN!I17</f>
        <v>0</v>
      </c>
      <c r="G16" s="104" t="s">
        <v>31</v>
      </c>
      <c r="H16" s="105"/>
      <c r="I16" s="10">
        <f>VORN!I23</f>
        <v>0</v>
      </c>
    </row>
    <row r="17" spans="1:9" ht="15.75" x14ac:dyDescent="0.25">
      <c r="A17" s="11" t="s">
        <v>4</v>
      </c>
      <c r="B17" s="8" t="s">
        <v>26</v>
      </c>
      <c r="C17" s="9">
        <f>SUM('Stavební rozpočet'!AE12:AE1638)</f>
        <v>0</v>
      </c>
      <c r="D17" s="104" t="s">
        <v>4</v>
      </c>
      <c r="E17" s="105"/>
      <c r="F17" s="10" t="s">
        <v>4</v>
      </c>
      <c r="G17" s="104" t="s">
        <v>32</v>
      </c>
      <c r="H17" s="105"/>
      <c r="I17" s="10">
        <f>VORN!I24</f>
        <v>0</v>
      </c>
    </row>
    <row r="18" spans="1:9" ht="15.75" x14ac:dyDescent="0.25">
      <c r="A18" s="7" t="s">
        <v>33</v>
      </c>
      <c r="B18" s="8" t="s">
        <v>23</v>
      </c>
      <c r="C18" s="9">
        <f>SUM('Stavební rozpočet'!AF12:AF1638)</f>
        <v>0</v>
      </c>
      <c r="D18" s="104" t="s">
        <v>4</v>
      </c>
      <c r="E18" s="105"/>
      <c r="F18" s="10" t="s">
        <v>4</v>
      </c>
      <c r="G18" s="104" t="s">
        <v>34</v>
      </c>
      <c r="H18" s="105"/>
      <c r="I18" s="10">
        <f>VORN!I25</f>
        <v>0</v>
      </c>
    </row>
    <row r="19" spans="1:9" ht="15.75" x14ac:dyDescent="0.25">
      <c r="A19" s="11" t="s">
        <v>4</v>
      </c>
      <c r="B19" s="8" t="s">
        <v>26</v>
      </c>
      <c r="C19" s="9">
        <f>SUM('Stavební rozpočet'!AG12:AG1638)</f>
        <v>0</v>
      </c>
      <c r="D19" s="104" t="s">
        <v>4</v>
      </c>
      <c r="E19" s="105"/>
      <c r="F19" s="10" t="s">
        <v>4</v>
      </c>
      <c r="G19" s="104" t="s">
        <v>35</v>
      </c>
      <c r="H19" s="105"/>
      <c r="I19" s="10">
        <f>VORN!I26</f>
        <v>0</v>
      </c>
    </row>
    <row r="20" spans="1:9" ht="15.75" x14ac:dyDescent="0.25">
      <c r="A20" s="98" t="s">
        <v>36</v>
      </c>
      <c r="B20" s="99"/>
      <c r="C20" s="9">
        <f>SUM('Stavební rozpočet'!AH12:AH1638)</f>
        <v>0</v>
      </c>
      <c r="D20" s="104" t="s">
        <v>4</v>
      </c>
      <c r="E20" s="105"/>
      <c r="F20" s="10" t="s">
        <v>4</v>
      </c>
      <c r="G20" s="104" t="s">
        <v>4</v>
      </c>
      <c r="H20" s="105"/>
      <c r="I20" s="10" t="s">
        <v>4</v>
      </c>
    </row>
    <row r="21" spans="1:9" ht="15.75" x14ac:dyDescent="0.25">
      <c r="A21" s="100" t="s">
        <v>37</v>
      </c>
      <c r="B21" s="101"/>
      <c r="C21" s="12">
        <f>SUM('Stavební rozpočet'!Z12:Z1638)</f>
        <v>0</v>
      </c>
      <c r="D21" s="106" t="s">
        <v>4</v>
      </c>
      <c r="E21" s="107"/>
      <c r="F21" s="13" t="s">
        <v>4</v>
      </c>
      <c r="G21" s="106" t="s">
        <v>4</v>
      </c>
      <c r="H21" s="107"/>
      <c r="I21" s="13" t="s">
        <v>4</v>
      </c>
    </row>
    <row r="22" spans="1:9" ht="16.5" customHeight="1" x14ac:dyDescent="0.25">
      <c r="A22" s="102" t="s">
        <v>38</v>
      </c>
      <c r="B22" s="103"/>
      <c r="C22" s="14">
        <f>ROUND(SUM(C14:C21),2)</f>
        <v>0</v>
      </c>
      <c r="D22" s="108" t="s">
        <v>39</v>
      </c>
      <c r="E22" s="103"/>
      <c r="F22" s="14">
        <f>SUM(F14:F21)</f>
        <v>0</v>
      </c>
      <c r="G22" s="108" t="s">
        <v>40</v>
      </c>
      <c r="H22" s="103"/>
      <c r="I22" s="14">
        <f>SUM(I14:I21)</f>
        <v>0</v>
      </c>
    </row>
    <row r="23" spans="1:9" ht="15.75" x14ac:dyDescent="0.25">
      <c r="D23" s="98" t="s">
        <v>41</v>
      </c>
      <c r="E23" s="99"/>
      <c r="F23" s="15">
        <v>0</v>
      </c>
      <c r="G23" s="109" t="s">
        <v>42</v>
      </c>
      <c r="H23" s="99"/>
      <c r="I23" s="9">
        <v>0</v>
      </c>
    </row>
    <row r="24" spans="1:9" ht="15.75" x14ac:dyDescent="0.25">
      <c r="G24" s="98" t="s">
        <v>43</v>
      </c>
      <c r="H24" s="99"/>
      <c r="I24" s="12">
        <f>vorn_sum</f>
        <v>0</v>
      </c>
    </row>
    <row r="25" spans="1:9" ht="15.75" x14ac:dyDescent="0.25">
      <c r="G25" s="98" t="s">
        <v>44</v>
      </c>
      <c r="H25" s="99"/>
      <c r="I25" s="14">
        <v>0</v>
      </c>
    </row>
    <row r="27" spans="1:9" ht="15.75" x14ac:dyDescent="0.25">
      <c r="A27" s="110" t="s">
        <v>45</v>
      </c>
      <c r="B27" s="111"/>
      <c r="C27" s="16">
        <f>ROUND(SUM('Stavební rozpočet'!AJ12:AJ1638),2)</f>
        <v>0</v>
      </c>
    </row>
    <row r="28" spans="1:9" ht="15.75" x14ac:dyDescent="0.25">
      <c r="A28" s="112" t="s">
        <v>46</v>
      </c>
      <c r="B28" s="113"/>
      <c r="C28" s="17">
        <f>ROUND(SUM('Stavební rozpočet'!AK12:AK1638),2)</f>
        <v>0</v>
      </c>
      <c r="D28" s="114" t="s">
        <v>47</v>
      </c>
      <c r="E28" s="111"/>
      <c r="F28" s="16">
        <f>ROUND(C28*(12/100),2)</f>
        <v>0</v>
      </c>
      <c r="G28" s="114" t="s">
        <v>48</v>
      </c>
      <c r="H28" s="111"/>
      <c r="I28" s="16">
        <f>ROUND(SUM(C27:C29),2)</f>
        <v>0</v>
      </c>
    </row>
    <row r="29" spans="1:9" ht="15.75" x14ac:dyDescent="0.25">
      <c r="A29" s="112" t="s">
        <v>49</v>
      </c>
      <c r="B29" s="113"/>
      <c r="C29" s="17">
        <f>ROUND(SUM('Stavební rozpočet'!AL12:AL1638),2)</f>
        <v>0</v>
      </c>
      <c r="D29" s="115" t="s">
        <v>50</v>
      </c>
      <c r="E29" s="113"/>
      <c r="F29" s="17">
        <f>ROUND(C29*(21/100),2)</f>
        <v>0</v>
      </c>
      <c r="G29" s="115" t="s">
        <v>51</v>
      </c>
      <c r="H29" s="113"/>
      <c r="I29" s="17">
        <f>ROUND(SUM(F28:F29)+I28,2)</f>
        <v>0</v>
      </c>
    </row>
    <row r="31" spans="1:9" x14ac:dyDescent="0.25">
      <c r="A31" s="116" t="s">
        <v>52</v>
      </c>
      <c r="B31" s="117"/>
      <c r="C31" s="118"/>
      <c r="D31" s="125" t="s">
        <v>53</v>
      </c>
      <c r="E31" s="117"/>
      <c r="F31" s="118"/>
      <c r="G31" s="125" t="s">
        <v>54</v>
      </c>
      <c r="H31" s="117"/>
      <c r="I31" s="118"/>
    </row>
    <row r="32" spans="1:9" x14ac:dyDescent="0.25">
      <c r="A32" s="119" t="s">
        <v>4</v>
      </c>
      <c r="B32" s="120"/>
      <c r="C32" s="121"/>
      <c r="D32" s="126" t="s">
        <v>4</v>
      </c>
      <c r="E32" s="120"/>
      <c r="F32" s="121"/>
      <c r="G32" s="126" t="s">
        <v>4</v>
      </c>
      <c r="H32" s="120"/>
      <c r="I32" s="121"/>
    </row>
    <row r="33" spans="1:9" x14ac:dyDescent="0.25">
      <c r="A33" s="119" t="s">
        <v>4</v>
      </c>
      <c r="B33" s="120"/>
      <c r="C33" s="121"/>
      <c r="D33" s="126" t="s">
        <v>4</v>
      </c>
      <c r="E33" s="120"/>
      <c r="F33" s="121"/>
      <c r="G33" s="126" t="s">
        <v>4</v>
      </c>
      <c r="H33" s="120"/>
      <c r="I33" s="121"/>
    </row>
    <row r="34" spans="1:9" x14ac:dyDescent="0.25">
      <c r="A34" s="119" t="s">
        <v>4</v>
      </c>
      <c r="B34" s="120"/>
      <c r="C34" s="121"/>
      <c r="D34" s="126" t="s">
        <v>4</v>
      </c>
      <c r="E34" s="120"/>
      <c r="F34" s="121"/>
      <c r="G34" s="126" t="s">
        <v>4</v>
      </c>
      <c r="H34" s="120"/>
      <c r="I34" s="121"/>
    </row>
    <row r="35" spans="1:9" x14ac:dyDescent="0.25">
      <c r="A35" s="122" t="s">
        <v>55</v>
      </c>
      <c r="B35" s="123"/>
      <c r="C35" s="124"/>
      <c r="D35" s="127" t="s">
        <v>55</v>
      </c>
      <c r="E35" s="123"/>
      <c r="F35" s="124"/>
      <c r="G35" s="127" t="s">
        <v>55</v>
      </c>
      <c r="H35" s="123"/>
      <c r="I35" s="124"/>
    </row>
    <row r="36" spans="1:9" x14ac:dyDescent="0.25">
      <c r="A36" s="18" t="s">
        <v>56</v>
      </c>
    </row>
    <row r="37" spans="1:9" ht="12.75" customHeight="1" x14ac:dyDescent="0.25">
      <c r="A37" s="86" t="s">
        <v>4</v>
      </c>
      <c r="B37" s="81"/>
      <c r="C37" s="81"/>
      <c r="D37" s="81"/>
      <c r="E37" s="81"/>
      <c r="F37" s="81"/>
      <c r="G37" s="81"/>
      <c r="H37" s="81"/>
      <c r="I37" s="81"/>
    </row>
  </sheetData>
  <sheetProtection password="E93C" sheet="1"/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tabSelected="1" workbookViewId="0">
      <selection activeCell="F21" sqref="F21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76" t="s">
        <v>57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8" t="s">
        <v>1</v>
      </c>
      <c r="B2" s="79"/>
      <c r="C2" s="87" t="str">
        <f>'Stavební rozpočet'!D2</f>
        <v>Šluknov - bezbariérové úpravy objektu ZŠ  Žižkova</v>
      </c>
      <c r="D2" s="88"/>
      <c r="E2" s="85" t="s">
        <v>2</v>
      </c>
      <c r="F2" s="85" t="str">
        <f>'Stavební rozpočet'!J2</f>
        <v> </v>
      </c>
      <c r="G2" s="79"/>
      <c r="H2" s="85" t="s">
        <v>3</v>
      </c>
      <c r="I2" s="90" t="s">
        <v>4</v>
      </c>
    </row>
    <row r="3" spans="1:9" ht="15" customHeight="1" x14ac:dyDescent="0.25">
      <c r="A3" s="80"/>
      <c r="B3" s="81"/>
      <c r="C3" s="89"/>
      <c r="D3" s="89"/>
      <c r="E3" s="81"/>
      <c r="F3" s="81"/>
      <c r="G3" s="81"/>
      <c r="H3" s="81"/>
      <c r="I3" s="91"/>
    </row>
    <row r="4" spans="1:9" x14ac:dyDescent="0.25">
      <c r="A4" s="82" t="s">
        <v>5</v>
      </c>
      <c r="B4" s="81"/>
      <c r="C4" s="86" t="str">
        <f>'Stavební rozpočet'!D4</f>
        <v>Základní škola</v>
      </c>
      <c r="D4" s="81"/>
      <c r="E4" s="86" t="s">
        <v>6</v>
      </c>
      <c r="F4" s="86" t="str">
        <f>'Stavební rozpočet'!J4</f>
        <v> </v>
      </c>
      <c r="G4" s="81"/>
      <c r="H4" s="86" t="s">
        <v>3</v>
      </c>
      <c r="I4" s="91" t="s">
        <v>4</v>
      </c>
    </row>
    <row r="5" spans="1:9" ht="15" customHeight="1" x14ac:dyDescent="0.25">
      <c r="A5" s="80"/>
      <c r="B5" s="81"/>
      <c r="C5" s="81"/>
      <c r="D5" s="81"/>
      <c r="E5" s="81"/>
      <c r="F5" s="81"/>
      <c r="G5" s="81"/>
      <c r="H5" s="81"/>
      <c r="I5" s="91"/>
    </row>
    <row r="6" spans="1:9" x14ac:dyDescent="0.25">
      <c r="A6" s="82" t="s">
        <v>7</v>
      </c>
      <c r="B6" s="81"/>
      <c r="C6" s="86" t="str">
        <f>'Stavební rozpočet'!D6</f>
        <v>Město Šluknov</v>
      </c>
      <c r="D6" s="81"/>
      <c r="E6" s="86" t="s">
        <v>8</v>
      </c>
      <c r="F6" s="86" t="str">
        <f>'Stavební rozpočet'!J6</f>
        <v> </v>
      </c>
      <c r="G6" s="81"/>
      <c r="H6" s="86" t="s">
        <v>3</v>
      </c>
      <c r="I6" s="91" t="s">
        <v>4</v>
      </c>
    </row>
    <row r="7" spans="1:9" ht="15" customHeight="1" x14ac:dyDescent="0.25">
      <c r="A7" s="80"/>
      <c r="B7" s="81"/>
      <c r="C7" s="81"/>
      <c r="D7" s="81"/>
      <c r="E7" s="81"/>
      <c r="F7" s="81"/>
      <c r="G7" s="81"/>
      <c r="H7" s="81"/>
      <c r="I7" s="91"/>
    </row>
    <row r="8" spans="1:9" x14ac:dyDescent="0.25">
      <c r="A8" s="82" t="s">
        <v>9</v>
      </c>
      <c r="B8" s="81"/>
      <c r="C8" s="86" t="str">
        <f>'Stavební rozpočet'!H4</f>
        <v>25.03.2025</v>
      </c>
      <c r="D8" s="81"/>
      <c r="E8" s="86" t="s">
        <v>10</v>
      </c>
      <c r="F8" s="86" t="str">
        <f>'Stavební rozpočet'!H6</f>
        <v xml:space="preserve"> </v>
      </c>
      <c r="G8" s="81"/>
      <c r="H8" s="81" t="s">
        <v>11</v>
      </c>
      <c r="I8" s="92">
        <v>632</v>
      </c>
    </row>
    <row r="9" spans="1:9" x14ac:dyDescent="0.25">
      <c r="A9" s="80"/>
      <c r="B9" s="81"/>
      <c r="C9" s="81"/>
      <c r="D9" s="81"/>
      <c r="E9" s="81"/>
      <c r="F9" s="81"/>
      <c r="G9" s="81"/>
      <c r="H9" s="81"/>
      <c r="I9" s="91"/>
    </row>
    <row r="10" spans="1:9" x14ac:dyDescent="0.25">
      <c r="A10" s="82" t="s">
        <v>12</v>
      </c>
      <c r="B10" s="81"/>
      <c r="C10" s="86" t="str">
        <f>'Stavební rozpočet'!D8</f>
        <v xml:space="preserve"> </v>
      </c>
      <c r="D10" s="81"/>
      <c r="E10" s="86" t="s">
        <v>13</v>
      </c>
      <c r="F10" s="86" t="str">
        <f>'Stavební rozpočet'!J8</f>
        <v> </v>
      </c>
      <c r="G10" s="81"/>
      <c r="H10" s="81" t="s">
        <v>14</v>
      </c>
      <c r="I10" s="93" t="str">
        <f>'Stavební rozpočet'!H8</f>
        <v>25.03.2025</v>
      </c>
    </row>
    <row r="11" spans="1:9" x14ac:dyDescent="0.25">
      <c r="A11" s="83"/>
      <c r="B11" s="84"/>
      <c r="C11" s="84"/>
      <c r="D11" s="84"/>
      <c r="E11" s="84"/>
      <c r="F11" s="84"/>
      <c r="G11" s="84"/>
      <c r="H11" s="84"/>
      <c r="I11" s="94"/>
    </row>
    <row r="13" spans="1:9" ht="15.75" x14ac:dyDescent="0.25">
      <c r="A13" s="128" t="s">
        <v>58</v>
      </c>
      <c r="B13" s="128"/>
      <c r="C13" s="128"/>
      <c r="D13" s="128"/>
      <c r="E13" s="128"/>
    </row>
    <row r="14" spans="1:9" x14ac:dyDescent="0.25">
      <c r="A14" s="129" t="s">
        <v>59</v>
      </c>
      <c r="B14" s="130"/>
      <c r="C14" s="130"/>
      <c r="D14" s="130"/>
      <c r="E14" s="131"/>
      <c r="F14" s="19" t="s">
        <v>60</v>
      </c>
      <c r="G14" s="19" t="s">
        <v>61</v>
      </c>
      <c r="H14" s="19" t="s">
        <v>62</v>
      </c>
      <c r="I14" s="19" t="s">
        <v>60</v>
      </c>
    </row>
    <row r="15" spans="1:9" x14ac:dyDescent="0.25">
      <c r="A15" s="132"/>
      <c r="B15" s="133"/>
      <c r="C15" s="133"/>
      <c r="D15" s="133"/>
      <c r="E15" s="134"/>
      <c r="F15" s="20"/>
      <c r="G15" s="21" t="s">
        <v>4</v>
      </c>
      <c r="H15" s="21" t="s">
        <v>4</v>
      </c>
      <c r="I15" s="20">
        <f>F15</f>
        <v>0</v>
      </c>
    </row>
    <row r="16" spans="1:9" x14ac:dyDescent="0.25">
      <c r="A16" s="132"/>
      <c r="B16" s="133"/>
      <c r="C16" s="133"/>
      <c r="D16" s="133"/>
      <c r="E16" s="134"/>
      <c r="F16" s="20"/>
      <c r="G16" s="21" t="s">
        <v>4</v>
      </c>
      <c r="H16" s="21" t="s">
        <v>4</v>
      </c>
      <c r="I16" s="20">
        <f>F16</f>
        <v>0</v>
      </c>
    </row>
    <row r="17" spans="1:9" x14ac:dyDescent="0.25">
      <c r="A17" s="135"/>
      <c r="B17" s="136"/>
      <c r="C17" s="136"/>
      <c r="D17" s="136"/>
      <c r="E17" s="137"/>
      <c r="F17" s="22"/>
      <c r="G17" s="23" t="s">
        <v>4</v>
      </c>
      <c r="H17" s="23" t="s">
        <v>4</v>
      </c>
      <c r="I17" s="22">
        <f>F17</f>
        <v>0</v>
      </c>
    </row>
    <row r="18" spans="1:9" x14ac:dyDescent="0.25">
      <c r="A18" s="138" t="s">
        <v>63</v>
      </c>
      <c r="B18" s="139"/>
      <c r="C18" s="139"/>
      <c r="D18" s="139"/>
      <c r="E18" s="140"/>
      <c r="F18" s="24" t="s">
        <v>4</v>
      </c>
      <c r="G18" s="25" t="s">
        <v>4</v>
      </c>
      <c r="H18" s="25" t="s">
        <v>4</v>
      </c>
      <c r="I18" s="26">
        <f>SUM(I15:I17)</f>
        <v>0</v>
      </c>
    </row>
    <row r="20" spans="1:9" x14ac:dyDescent="0.25">
      <c r="A20" s="129" t="s">
        <v>21</v>
      </c>
      <c r="B20" s="130"/>
      <c r="C20" s="130"/>
      <c r="D20" s="130"/>
      <c r="E20" s="131"/>
      <c r="F20" s="19" t="s">
        <v>60</v>
      </c>
      <c r="G20" s="19" t="s">
        <v>61</v>
      </c>
      <c r="H20" s="19" t="s">
        <v>62</v>
      </c>
      <c r="I20" s="19" t="s">
        <v>60</v>
      </c>
    </row>
    <row r="21" spans="1:9" x14ac:dyDescent="0.25">
      <c r="A21" s="132" t="s">
        <v>25</v>
      </c>
      <c r="B21" s="133"/>
      <c r="C21" s="133"/>
      <c r="D21" s="133"/>
      <c r="E21" s="134"/>
      <c r="F21" s="173">
        <v>0</v>
      </c>
      <c r="G21" s="21" t="s">
        <v>4</v>
      </c>
      <c r="H21" s="21" t="s">
        <v>4</v>
      </c>
      <c r="I21" s="20">
        <f>F21</f>
        <v>0</v>
      </c>
    </row>
    <row r="22" spans="1:9" x14ac:dyDescent="0.25">
      <c r="A22" s="132"/>
      <c r="B22" s="133"/>
      <c r="C22" s="133"/>
      <c r="D22" s="133"/>
      <c r="E22" s="134"/>
      <c r="F22" s="20"/>
      <c r="G22" s="21" t="s">
        <v>4</v>
      </c>
      <c r="H22" s="21" t="s">
        <v>4</v>
      </c>
      <c r="I22" s="20">
        <f t="shared" ref="I21:I26" si="0">F22</f>
        <v>0</v>
      </c>
    </row>
    <row r="23" spans="1:9" x14ac:dyDescent="0.25">
      <c r="A23" s="132"/>
      <c r="B23" s="133"/>
      <c r="C23" s="133"/>
      <c r="D23" s="133"/>
      <c r="E23" s="134"/>
      <c r="F23" s="20"/>
      <c r="G23" s="21" t="s">
        <v>4</v>
      </c>
      <c r="H23" s="21" t="s">
        <v>4</v>
      </c>
      <c r="I23" s="20">
        <f t="shared" si="0"/>
        <v>0</v>
      </c>
    </row>
    <row r="24" spans="1:9" x14ac:dyDescent="0.25">
      <c r="A24" s="132"/>
      <c r="B24" s="133"/>
      <c r="C24" s="133"/>
      <c r="D24" s="133"/>
      <c r="E24" s="134"/>
      <c r="F24" s="20"/>
      <c r="G24" s="21" t="s">
        <v>4</v>
      </c>
      <c r="H24" s="21" t="s">
        <v>4</v>
      </c>
      <c r="I24" s="20">
        <f t="shared" si="0"/>
        <v>0</v>
      </c>
    </row>
    <row r="25" spans="1:9" x14ac:dyDescent="0.25">
      <c r="A25" s="132"/>
      <c r="B25" s="133"/>
      <c r="C25" s="133"/>
      <c r="D25" s="133"/>
      <c r="E25" s="134"/>
      <c r="F25" s="20"/>
      <c r="G25" s="21" t="s">
        <v>4</v>
      </c>
      <c r="H25" s="21" t="s">
        <v>4</v>
      </c>
      <c r="I25" s="20">
        <f t="shared" si="0"/>
        <v>0</v>
      </c>
    </row>
    <row r="26" spans="1:9" x14ac:dyDescent="0.25">
      <c r="A26" s="135"/>
      <c r="B26" s="136"/>
      <c r="C26" s="136"/>
      <c r="D26" s="136"/>
      <c r="E26" s="137"/>
      <c r="F26" s="22"/>
      <c r="G26" s="23" t="s">
        <v>4</v>
      </c>
      <c r="H26" s="23" t="s">
        <v>4</v>
      </c>
      <c r="I26" s="22">
        <f t="shared" si="0"/>
        <v>0</v>
      </c>
    </row>
    <row r="27" spans="1:9" x14ac:dyDescent="0.25">
      <c r="A27" s="138" t="s">
        <v>64</v>
      </c>
      <c r="B27" s="139"/>
      <c r="C27" s="139"/>
      <c r="D27" s="139"/>
      <c r="E27" s="140"/>
      <c r="F27" s="24" t="s">
        <v>4</v>
      </c>
      <c r="G27" s="25" t="s">
        <v>4</v>
      </c>
      <c r="H27" s="25" t="s">
        <v>4</v>
      </c>
      <c r="I27" s="26">
        <f>SUM(I21:I26)</f>
        <v>0</v>
      </c>
    </row>
    <row r="29" spans="1:9" ht="15.75" x14ac:dyDescent="0.25">
      <c r="A29" s="141" t="s">
        <v>65</v>
      </c>
      <c r="B29" s="142"/>
      <c r="C29" s="142"/>
      <c r="D29" s="142"/>
      <c r="E29" s="143"/>
      <c r="F29" s="144">
        <f>I18+I27</f>
        <v>0</v>
      </c>
      <c r="G29" s="145"/>
      <c r="H29" s="145"/>
      <c r="I29" s="146"/>
    </row>
    <row r="33" spans="1:9" ht="15.75" x14ac:dyDescent="0.25">
      <c r="A33" s="128" t="s">
        <v>66</v>
      </c>
      <c r="B33" s="128"/>
      <c r="C33" s="128"/>
      <c r="D33" s="128"/>
      <c r="E33" s="128"/>
    </row>
    <row r="34" spans="1:9" x14ac:dyDescent="0.25">
      <c r="A34" s="129" t="s">
        <v>67</v>
      </c>
      <c r="B34" s="130"/>
      <c r="C34" s="130"/>
      <c r="D34" s="130"/>
      <c r="E34" s="131"/>
      <c r="F34" s="19" t="s">
        <v>60</v>
      </c>
      <c r="G34" s="19" t="s">
        <v>61</v>
      </c>
      <c r="H34" s="19" t="s">
        <v>62</v>
      </c>
      <c r="I34" s="19" t="s">
        <v>60</v>
      </c>
    </row>
    <row r="35" spans="1:9" x14ac:dyDescent="0.25">
      <c r="A35" s="132" t="s">
        <v>68</v>
      </c>
      <c r="B35" s="133"/>
      <c r="C35" s="133"/>
      <c r="D35" s="133"/>
      <c r="E35" s="134"/>
      <c r="F35" s="20">
        <f>SUM('Stavební rozpočet'!BM12:BM1638)</f>
        <v>0</v>
      </c>
      <c r="G35" s="21" t="s">
        <v>4</v>
      </c>
      <c r="H35" s="21" t="s">
        <v>4</v>
      </c>
      <c r="I35" s="20">
        <f t="shared" ref="I35:I44" si="1">F35</f>
        <v>0</v>
      </c>
    </row>
    <row r="36" spans="1:9" x14ac:dyDescent="0.25">
      <c r="A36" s="132" t="s">
        <v>69</v>
      </c>
      <c r="B36" s="133"/>
      <c r="C36" s="133"/>
      <c r="D36" s="133"/>
      <c r="E36" s="134"/>
      <c r="F36" s="20">
        <f>SUM('Stavební rozpočet'!BN12:BN1638)</f>
        <v>0</v>
      </c>
      <c r="G36" s="21" t="s">
        <v>4</v>
      </c>
      <c r="H36" s="21" t="s">
        <v>4</v>
      </c>
      <c r="I36" s="20">
        <f t="shared" si="1"/>
        <v>0</v>
      </c>
    </row>
    <row r="37" spans="1:9" x14ac:dyDescent="0.25">
      <c r="A37" s="132" t="s">
        <v>25</v>
      </c>
      <c r="B37" s="133"/>
      <c r="C37" s="133"/>
      <c r="D37" s="133"/>
      <c r="E37" s="134"/>
      <c r="F37" s="20">
        <f>SUM('Stavební rozpočet'!BO12:BO1638)</f>
        <v>0</v>
      </c>
      <c r="G37" s="21" t="s">
        <v>4</v>
      </c>
      <c r="H37" s="21" t="s">
        <v>4</v>
      </c>
      <c r="I37" s="20">
        <f t="shared" si="1"/>
        <v>0</v>
      </c>
    </row>
    <row r="38" spans="1:9" x14ac:dyDescent="0.25">
      <c r="A38" s="132" t="s">
        <v>70</v>
      </c>
      <c r="B38" s="133"/>
      <c r="C38" s="133"/>
      <c r="D38" s="133"/>
      <c r="E38" s="134"/>
      <c r="F38" s="20">
        <f>SUM('Stavební rozpočet'!BP12:BP1638)</f>
        <v>0</v>
      </c>
      <c r="G38" s="21" t="s">
        <v>4</v>
      </c>
      <c r="H38" s="21" t="s">
        <v>4</v>
      </c>
      <c r="I38" s="20">
        <f t="shared" si="1"/>
        <v>0</v>
      </c>
    </row>
    <row r="39" spans="1:9" x14ac:dyDescent="0.25">
      <c r="A39" s="132" t="s">
        <v>71</v>
      </c>
      <c r="B39" s="133"/>
      <c r="C39" s="133"/>
      <c r="D39" s="133"/>
      <c r="E39" s="134"/>
      <c r="F39" s="20">
        <f>SUM('Stavební rozpočet'!BQ12:BQ1638)</f>
        <v>0</v>
      </c>
      <c r="G39" s="21" t="s">
        <v>4</v>
      </c>
      <c r="H39" s="21" t="s">
        <v>4</v>
      </c>
      <c r="I39" s="20">
        <f t="shared" si="1"/>
        <v>0</v>
      </c>
    </row>
    <row r="40" spans="1:9" x14ac:dyDescent="0.25">
      <c r="A40" s="132" t="s">
        <v>31</v>
      </c>
      <c r="B40" s="133"/>
      <c r="C40" s="133"/>
      <c r="D40" s="133"/>
      <c r="E40" s="134"/>
      <c r="F40" s="20">
        <f>SUM('Stavební rozpočet'!BR12:BR1638)</f>
        <v>0</v>
      </c>
      <c r="G40" s="21" t="s">
        <v>4</v>
      </c>
      <c r="H40" s="21" t="s">
        <v>4</v>
      </c>
      <c r="I40" s="20">
        <f t="shared" si="1"/>
        <v>0</v>
      </c>
    </row>
    <row r="41" spans="1:9" x14ac:dyDescent="0.25">
      <c r="A41" s="132" t="s">
        <v>32</v>
      </c>
      <c r="B41" s="133"/>
      <c r="C41" s="133"/>
      <c r="D41" s="133"/>
      <c r="E41" s="134"/>
      <c r="F41" s="20">
        <f>SUM('Stavební rozpočet'!BS12:BS1638)</f>
        <v>0</v>
      </c>
      <c r="G41" s="21" t="s">
        <v>4</v>
      </c>
      <c r="H41" s="21" t="s">
        <v>4</v>
      </c>
      <c r="I41" s="20">
        <f t="shared" si="1"/>
        <v>0</v>
      </c>
    </row>
    <row r="42" spans="1:9" x14ac:dyDescent="0.25">
      <c r="A42" s="132" t="s">
        <v>72</v>
      </c>
      <c r="B42" s="133"/>
      <c r="C42" s="133"/>
      <c r="D42" s="133"/>
      <c r="E42" s="134"/>
      <c r="F42" s="20">
        <f>SUM('Stavební rozpočet'!BT12:BT1638)</f>
        <v>0</v>
      </c>
      <c r="G42" s="21" t="s">
        <v>4</v>
      </c>
      <c r="H42" s="21" t="s">
        <v>4</v>
      </c>
      <c r="I42" s="20">
        <f t="shared" si="1"/>
        <v>0</v>
      </c>
    </row>
    <row r="43" spans="1:9" x14ac:dyDescent="0.25">
      <c r="A43" s="132" t="s">
        <v>73</v>
      </c>
      <c r="B43" s="133"/>
      <c r="C43" s="133"/>
      <c r="D43" s="133"/>
      <c r="E43" s="134"/>
      <c r="F43" s="20">
        <f>SUM('Stavební rozpočet'!BU12:BU1638)</f>
        <v>0</v>
      </c>
      <c r="G43" s="21" t="s">
        <v>4</v>
      </c>
      <c r="H43" s="21" t="s">
        <v>4</v>
      </c>
      <c r="I43" s="20">
        <f t="shared" si="1"/>
        <v>0</v>
      </c>
    </row>
    <row r="44" spans="1:9" x14ac:dyDescent="0.25">
      <c r="A44" s="135" t="s">
        <v>74</v>
      </c>
      <c r="B44" s="136"/>
      <c r="C44" s="136"/>
      <c r="D44" s="136"/>
      <c r="E44" s="137"/>
      <c r="F44" s="22">
        <f>SUM('Stavební rozpočet'!BV12:BV1638)</f>
        <v>0</v>
      </c>
      <c r="G44" s="23" t="s">
        <v>4</v>
      </c>
      <c r="H44" s="23" t="s">
        <v>4</v>
      </c>
      <c r="I44" s="22">
        <f t="shared" si="1"/>
        <v>0</v>
      </c>
    </row>
    <row r="45" spans="1:9" x14ac:dyDescent="0.25">
      <c r="A45" s="138" t="s">
        <v>75</v>
      </c>
      <c r="B45" s="139"/>
      <c r="C45" s="139"/>
      <c r="D45" s="139"/>
      <c r="E45" s="140"/>
      <c r="F45" s="24" t="s">
        <v>4</v>
      </c>
      <c r="G45" s="25" t="s">
        <v>4</v>
      </c>
      <c r="H45" s="25" t="s">
        <v>4</v>
      </c>
      <c r="I45" s="26">
        <f>SUM(I35:I44)</f>
        <v>0</v>
      </c>
    </row>
  </sheetData>
  <sheetProtection algorithmName="SHA-512" hashValue="DDltUJgFDTiA/XsuZ7A5ty2KFhT8n7PH8jtgTL5hywGvuR4sWIJE/pVJO2CEyu2K1DSGMgPNTUS4KERQT/5dNA==" saltValue="xjYUyIogk5jb02YIMfy/0g==" spinCount="100000" sheet="1"/>
  <protectedRanges>
    <protectedRange sqref="F21" name="Oblast1"/>
  </protectedRanges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9"/>
  <sheetViews>
    <sheetView workbookViewId="0">
      <pane ySplit="11" topLeftCell="A12" activePane="bottomLeft" state="frozen"/>
      <selection pane="bottomLeft" activeCell="A19" sqref="A19:L19"/>
    </sheetView>
  </sheetViews>
  <sheetFormatPr defaultColWidth="12.140625" defaultRowHeight="15" customHeight="1" x14ac:dyDescent="0.25"/>
  <cols>
    <col min="1" max="1" width="7.5703125" customWidth="1"/>
    <col min="2" max="11" width="15.7109375" customWidth="1"/>
    <col min="12" max="12" width="14.28515625" customWidth="1"/>
    <col min="13" max="16" width="12.140625" hidden="1"/>
  </cols>
  <sheetData>
    <row r="1" spans="1:16" ht="54.75" customHeight="1" x14ac:dyDescent="0.25">
      <c r="A1" s="77" t="s">
        <v>76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x14ac:dyDescent="0.25">
      <c r="A2" s="78" t="s">
        <v>1</v>
      </c>
      <c r="B2" s="79"/>
      <c r="C2" s="79"/>
      <c r="D2" s="87" t="str">
        <f>'Stavební rozpočet'!D2</f>
        <v>Šluknov - bezbariérové úpravy objektu ZŠ  Žižkova</v>
      </c>
      <c r="E2" s="88"/>
      <c r="F2" s="88"/>
      <c r="G2" s="85" t="s">
        <v>77</v>
      </c>
      <c r="H2" s="85" t="str">
        <f>'Stavební rozpočet'!H2</f>
        <v xml:space="preserve"> </v>
      </c>
      <c r="I2" s="85" t="s">
        <v>2</v>
      </c>
      <c r="J2" s="85" t="str">
        <f>'Stavební rozpočet'!J2</f>
        <v> </v>
      </c>
      <c r="K2" s="79"/>
      <c r="L2" s="90"/>
    </row>
    <row r="3" spans="1:16" ht="15" customHeight="1" x14ac:dyDescent="0.25">
      <c r="A3" s="80"/>
      <c r="B3" s="81"/>
      <c r="C3" s="81"/>
      <c r="D3" s="89"/>
      <c r="E3" s="89"/>
      <c r="F3" s="89"/>
      <c r="G3" s="81"/>
      <c r="H3" s="81"/>
      <c r="I3" s="81"/>
      <c r="J3" s="81"/>
      <c r="K3" s="81"/>
      <c r="L3" s="91"/>
    </row>
    <row r="4" spans="1:16" x14ac:dyDescent="0.25">
      <c r="A4" s="82" t="s">
        <v>5</v>
      </c>
      <c r="B4" s="81"/>
      <c r="C4" s="81"/>
      <c r="D4" s="86" t="str">
        <f>'Stavební rozpočet'!D4</f>
        <v>Základní škola</v>
      </c>
      <c r="E4" s="81"/>
      <c r="F4" s="81"/>
      <c r="G4" s="86" t="s">
        <v>9</v>
      </c>
      <c r="H4" s="86" t="str">
        <f>'Stavební rozpočet'!H4</f>
        <v>25.03.2025</v>
      </c>
      <c r="I4" s="86" t="s">
        <v>6</v>
      </c>
      <c r="J4" s="86" t="str">
        <f>'Stavební rozpočet'!J4</f>
        <v> </v>
      </c>
      <c r="K4" s="81"/>
      <c r="L4" s="91"/>
    </row>
    <row r="5" spans="1:16" ht="15" customHeight="1" x14ac:dyDescent="0.25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91"/>
    </row>
    <row r="6" spans="1:16" x14ac:dyDescent="0.25">
      <c r="A6" s="82" t="s">
        <v>7</v>
      </c>
      <c r="B6" s="81"/>
      <c r="C6" s="81"/>
      <c r="D6" s="86" t="str">
        <f>'Stavební rozpočet'!D6</f>
        <v>Město Šluknov</v>
      </c>
      <c r="E6" s="81"/>
      <c r="F6" s="81"/>
      <c r="G6" s="86" t="s">
        <v>10</v>
      </c>
      <c r="H6" s="86" t="str">
        <f>'Stavební rozpočet'!H6</f>
        <v xml:space="preserve"> </v>
      </c>
      <c r="I6" s="86" t="s">
        <v>8</v>
      </c>
      <c r="J6" s="86" t="str">
        <f>'Stavební rozpočet'!J6</f>
        <v> </v>
      </c>
      <c r="K6" s="81"/>
      <c r="L6" s="91"/>
    </row>
    <row r="7" spans="1:16" ht="15" customHeight="1" x14ac:dyDescent="0.25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91"/>
    </row>
    <row r="8" spans="1:16" x14ac:dyDescent="0.25">
      <c r="A8" s="82" t="s">
        <v>12</v>
      </c>
      <c r="B8" s="81"/>
      <c r="C8" s="81"/>
      <c r="D8" s="86" t="str">
        <f>'Stavební rozpočet'!D8</f>
        <v xml:space="preserve"> </v>
      </c>
      <c r="E8" s="81"/>
      <c r="F8" s="81"/>
      <c r="G8" s="86" t="s">
        <v>78</v>
      </c>
      <c r="H8" s="86" t="str">
        <f>'Stavební rozpočet'!H8</f>
        <v>25.03.2025</v>
      </c>
      <c r="I8" s="86" t="s">
        <v>13</v>
      </c>
      <c r="J8" s="86" t="str">
        <f>'Stavební rozpočet'!J8</f>
        <v> </v>
      </c>
      <c r="K8" s="81"/>
      <c r="L8" s="91"/>
    </row>
    <row r="9" spans="1:16" x14ac:dyDescent="0.25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9"/>
    </row>
    <row r="10" spans="1:16" x14ac:dyDescent="0.25">
      <c r="A10" s="27" t="s">
        <v>79</v>
      </c>
      <c r="B10" s="150" t="s">
        <v>79</v>
      </c>
      <c r="C10" s="151"/>
      <c r="D10" s="151"/>
      <c r="E10" s="151"/>
      <c r="F10" s="151"/>
      <c r="G10" s="151"/>
      <c r="H10" s="151"/>
      <c r="I10" s="151"/>
      <c r="J10" s="151"/>
      <c r="K10" s="152"/>
      <c r="L10" s="28" t="s">
        <v>80</v>
      </c>
    </row>
    <row r="11" spans="1:16" x14ac:dyDescent="0.25">
      <c r="A11" s="29" t="s">
        <v>81</v>
      </c>
      <c r="B11" s="153" t="s">
        <v>82</v>
      </c>
      <c r="C11" s="154"/>
      <c r="D11" s="154"/>
      <c r="E11" s="154"/>
      <c r="F11" s="154"/>
      <c r="G11" s="154"/>
      <c r="H11" s="154"/>
      <c r="I11" s="154"/>
      <c r="J11" s="154"/>
      <c r="K11" s="155"/>
      <c r="L11" s="30" t="s">
        <v>83</v>
      </c>
    </row>
    <row r="12" spans="1:16" x14ac:dyDescent="0.25">
      <c r="A12" s="31" t="s">
        <v>84</v>
      </c>
      <c r="B12" s="156" t="s">
        <v>85</v>
      </c>
      <c r="C12" s="156"/>
      <c r="D12" s="156"/>
      <c r="E12" s="156"/>
      <c r="F12" s="156"/>
      <c r="G12" s="156"/>
      <c r="H12" s="156"/>
      <c r="I12" s="156"/>
      <c r="J12" s="156"/>
      <c r="K12" s="156"/>
      <c r="L12" s="32">
        <f>ROUND('Stavební rozpočet'!I12,2)</f>
        <v>0</v>
      </c>
      <c r="M12" s="33" t="s">
        <v>86</v>
      </c>
      <c r="N12" s="34">
        <f>IF(M12="F",0,L12)</f>
        <v>0</v>
      </c>
      <c r="O12" s="2" t="s">
        <v>84</v>
      </c>
      <c r="P12" s="34">
        <f>IF(M12="T",0,L12)</f>
        <v>0</v>
      </c>
    </row>
    <row r="13" spans="1:16" x14ac:dyDescent="0.25">
      <c r="A13" s="1" t="s">
        <v>87</v>
      </c>
      <c r="B13" s="81" t="s">
        <v>88</v>
      </c>
      <c r="C13" s="81"/>
      <c r="D13" s="81"/>
      <c r="E13" s="81"/>
      <c r="F13" s="81"/>
      <c r="G13" s="81"/>
      <c r="H13" s="81"/>
      <c r="I13" s="81"/>
      <c r="J13" s="81"/>
      <c r="K13" s="81"/>
      <c r="L13" s="35">
        <f>ROUND('Stavební rozpočet'!I1079,2)</f>
        <v>0</v>
      </c>
      <c r="M13" s="33" t="s">
        <v>86</v>
      </c>
      <c r="N13" s="34">
        <f>IF(M13="F",0,L13)</f>
        <v>0</v>
      </c>
      <c r="O13" s="2" t="s">
        <v>87</v>
      </c>
      <c r="P13" s="34">
        <f>IF(M13="T",0,L13)</f>
        <v>0</v>
      </c>
    </row>
    <row r="14" spans="1:16" x14ac:dyDescent="0.25">
      <c r="A14" s="1" t="s">
        <v>89</v>
      </c>
      <c r="B14" s="81" t="s">
        <v>90</v>
      </c>
      <c r="C14" s="81"/>
      <c r="D14" s="81"/>
      <c r="E14" s="81"/>
      <c r="F14" s="81"/>
      <c r="G14" s="81"/>
      <c r="H14" s="81"/>
      <c r="I14" s="81"/>
      <c r="J14" s="81"/>
      <c r="K14" s="81"/>
      <c r="L14" s="35">
        <f>ROUND('Stavební rozpočet'!I1144,2)</f>
        <v>0</v>
      </c>
      <c r="M14" s="33" t="s">
        <v>86</v>
      </c>
      <c r="N14" s="34">
        <f>IF(M14="F",0,L14)</f>
        <v>0</v>
      </c>
      <c r="O14" s="2" t="s">
        <v>89</v>
      </c>
      <c r="P14" s="34">
        <f>IF(M14="T",0,L14)</f>
        <v>0</v>
      </c>
    </row>
    <row r="15" spans="1:16" x14ac:dyDescent="0.25">
      <c r="A15" s="1" t="s">
        <v>91</v>
      </c>
      <c r="B15" s="81" t="s">
        <v>92</v>
      </c>
      <c r="C15" s="81"/>
      <c r="D15" s="81"/>
      <c r="E15" s="81"/>
      <c r="F15" s="81"/>
      <c r="G15" s="81"/>
      <c r="H15" s="81"/>
      <c r="I15" s="81"/>
      <c r="J15" s="81"/>
      <c r="K15" s="81"/>
      <c r="L15" s="35">
        <f>ROUND('Stavební rozpočet'!I1187,2)</f>
        <v>0</v>
      </c>
      <c r="M15" s="33" t="s">
        <v>86</v>
      </c>
      <c r="N15" s="34">
        <f>IF(M15="F",0,L15)</f>
        <v>0</v>
      </c>
      <c r="O15" s="2" t="s">
        <v>91</v>
      </c>
      <c r="P15" s="34">
        <f>IF(M15="T",0,L15)</f>
        <v>0</v>
      </c>
    </row>
    <row r="16" spans="1:16" x14ac:dyDescent="0.25">
      <c r="A16" s="4" t="s">
        <v>93</v>
      </c>
      <c r="B16" s="84" t="s">
        <v>94</v>
      </c>
      <c r="C16" s="84"/>
      <c r="D16" s="84"/>
      <c r="E16" s="84"/>
      <c r="F16" s="84"/>
      <c r="G16" s="84"/>
      <c r="H16" s="84"/>
      <c r="I16" s="84"/>
      <c r="J16" s="84"/>
      <c r="K16" s="84"/>
      <c r="L16" s="36">
        <f>ROUND('Stavební rozpočet'!I1353,2)</f>
        <v>0</v>
      </c>
      <c r="M16" s="33" t="s">
        <v>86</v>
      </c>
      <c r="N16" s="34">
        <f>IF(M16="F",0,L16)</f>
        <v>0</v>
      </c>
      <c r="O16" s="2" t="s">
        <v>93</v>
      </c>
      <c r="P16" s="34">
        <f>IF(M16="T",0,L16)</f>
        <v>0</v>
      </c>
    </row>
    <row r="17" spans="1:12" x14ac:dyDescent="0.25">
      <c r="J17" s="157" t="s">
        <v>95</v>
      </c>
      <c r="K17" s="157"/>
      <c r="L17" s="37">
        <f>ROUND(SUM(P12:P16),2)</f>
        <v>0</v>
      </c>
    </row>
    <row r="18" spans="1:12" x14ac:dyDescent="0.25">
      <c r="A18" s="38" t="s">
        <v>56</v>
      </c>
    </row>
    <row r="19" spans="1:12" ht="12.75" customHeight="1" x14ac:dyDescent="0.25">
      <c r="A19" s="86" t="s">
        <v>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</row>
  </sheetData>
  <sheetProtection password="E93C" sheet="1"/>
  <mergeCells count="34">
    <mergeCell ref="B16:K16"/>
    <mergeCell ref="J17:K17"/>
    <mergeCell ref="A19:L19"/>
    <mergeCell ref="B11:K11"/>
    <mergeCell ref="B12:K12"/>
    <mergeCell ref="B13:K13"/>
    <mergeCell ref="B14:K14"/>
    <mergeCell ref="B15:K15"/>
    <mergeCell ref="J2:L3"/>
    <mergeCell ref="J4:L5"/>
    <mergeCell ref="J6:L7"/>
    <mergeCell ref="J8:L9"/>
    <mergeCell ref="B10:K10"/>
    <mergeCell ref="H8:H9"/>
    <mergeCell ref="I2:I3"/>
    <mergeCell ref="I4:I5"/>
    <mergeCell ref="I6:I7"/>
    <mergeCell ref="I8:I9"/>
    <mergeCell ref="A1:L1"/>
    <mergeCell ref="A2:C3"/>
    <mergeCell ref="A4:C5"/>
    <mergeCell ref="A6:C7"/>
    <mergeCell ref="A8:C9"/>
    <mergeCell ref="D2:F3"/>
    <mergeCell ref="D4:F5"/>
    <mergeCell ref="D6:F7"/>
    <mergeCell ref="D8:F9"/>
    <mergeCell ref="G2:G3"/>
    <mergeCell ref="G4:G5"/>
    <mergeCell ref="G6:G7"/>
    <mergeCell ref="G8:G9"/>
    <mergeCell ref="H2:H3"/>
    <mergeCell ref="H4:H5"/>
    <mergeCell ref="H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Z1641"/>
  <sheetViews>
    <sheetView workbookViewId="0">
      <pane ySplit="11" topLeftCell="A12" activePane="bottomLeft" state="frozen"/>
      <selection pane="bottomLeft" activeCell="A1641" sqref="A1641:K1641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6.85546875" customWidth="1"/>
    <col min="7" max="7" width="12.85546875" customWidth="1"/>
    <col min="8" max="8" width="12" customWidth="1"/>
    <col min="9" max="9" width="15.7109375" customWidth="1"/>
    <col min="10" max="10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77" t="s">
        <v>96</v>
      </c>
      <c r="B1" s="77"/>
      <c r="C1" s="77"/>
      <c r="D1" s="77"/>
      <c r="E1" s="77"/>
      <c r="F1" s="77"/>
      <c r="G1" s="77"/>
      <c r="H1" s="77"/>
      <c r="I1" s="77"/>
      <c r="J1" s="77"/>
      <c r="K1" s="77"/>
      <c r="AS1" s="39">
        <f>SUM(AJ1:AJ2)</f>
        <v>0</v>
      </c>
      <c r="AT1" s="39">
        <f>SUM(AK1:AK2)</f>
        <v>0</v>
      </c>
      <c r="AU1" s="39">
        <f>SUM(AL1:AL2)</f>
        <v>0</v>
      </c>
    </row>
    <row r="2" spans="1:76" x14ac:dyDescent="0.25">
      <c r="A2" s="78" t="s">
        <v>1</v>
      </c>
      <c r="B2" s="79"/>
      <c r="C2" s="79"/>
      <c r="D2" s="87" t="s">
        <v>97</v>
      </c>
      <c r="E2" s="88"/>
      <c r="F2" s="79" t="s">
        <v>77</v>
      </c>
      <c r="G2" s="79"/>
      <c r="H2" s="158" t="s">
        <v>79</v>
      </c>
      <c r="I2" s="85" t="s">
        <v>2</v>
      </c>
      <c r="J2" s="79" t="s">
        <v>98</v>
      </c>
      <c r="K2" s="90"/>
    </row>
    <row r="3" spans="1:76" x14ac:dyDescent="0.25">
      <c r="A3" s="80"/>
      <c r="B3" s="81"/>
      <c r="C3" s="81"/>
      <c r="D3" s="89"/>
      <c r="E3" s="89"/>
      <c r="F3" s="81"/>
      <c r="G3" s="81"/>
      <c r="H3" s="159"/>
      <c r="I3" s="81"/>
      <c r="J3" s="81"/>
      <c r="K3" s="91"/>
    </row>
    <row r="4" spans="1:76" x14ac:dyDescent="0.25">
      <c r="A4" s="82" t="s">
        <v>5</v>
      </c>
      <c r="B4" s="81"/>
      <c r="C4" s="81"/>
      <c r="D4" s="86" t="s">
        <v>99</v>
      </c>
      <c r="E4" s="81"/>
      <c r="F4" s="81" t="s">
        <v>9</v>
      </c>
      <c r="G4" s="81"/>
      <c r="H4" s="159" t="s">
        <v>100</v>
      </c>
      <c r="I4" s="86" t="s">
        <v>6</v>
      </c>
      <c r="J4" s="81" t="s">
        <v>98</v>
      </c>
      <c r="K4" s="91"/>
    </row>
    <row r="5" spans="1:76" x14ac:dyDescent="0.25">
      <c r="A5" s="80"/>
      <c r="B5" s="81"/>
      <c r="C5" s="81"/>
      <c r="D5" s="81"/>
      <c r="E5" s="81"/>
      <c r="F5" s="81"/>
      <c r="G5" s="81"/>
      <c r="H5" s="159"/>
      <c r="I5" s="81"/>
      <c r="J5" s="81"/>
      <c r="K5" s="91"/>
    </row>
    <row r="6" spans="1:76" x14ac:dyDescent="0.25">
      <c r="A6" s="82" t="s">
        <v>7</v>
      </c>
      <c r="B6" s="81"/>
      <c r="C6" s="81"/>
      <c r="D6" s="86" t="s">
        <v>101</v>
      </c>
      <c r="E6" s="81"/>
      <c r="F6" s="81" t="s">
        <v>10</v>
      </c>
      <c r="G6" s="81"/>
      <c r="H6" s="159" t="s">
        <v>79</v>
      </c>
      <c r="I6" s="86" t="s">
        <v>8</v>
      </c>
      <c r="J6" s="159" t="s">
        <v>98</v>
      </c>
      <c r="K6" s="161"/>
    </row>
    <row r="7" spans="1:76" x14ac:dyDescent="0.25">
      <c r="A7" s="80"/>
      <c r="B7" s="81"/>
      <c r="C7" s="81"/>
      <c r="D7" s="81"/>
      <c r="E7" s="81"/>
      <c r="F7" s="81"/>
      <c r="G7" s="81"/>
      <c r="H7" s="159"/>
      <c r="I7" s="81"/>
      <c r="J7" s="159"/>
      <c r="K7" s="161"/>
    </row>
    <row r="8" spans="1:76" x14ac:dyDescent="0.25">
      <c r="A8" s="82" t="s">
        <v>12</v>
      </c>
      <c r="B8" s="81"/>
      <c r="C8" s="81"/>
      <c r="D8" s="86" t="s">
        <v>79</v>
      </c>
      <c r="E8" s="81"/>
      <c r="F8" s="81" t="s">
        <v>78</v>
      </c>
      <c r="G8" s="81"/>
      <c r="H8" s="159" t="s">
        <v>100</v>
      </c>
      <c r="I8" s="86" t="s">
        <v>13</v>
      </c>
      <c r="J8" s="159" t="s">
        <v>98</v>
      </c>
      <c r="K8" s="161"/>
    </row>
    <row r="9" spans="1:76" x14ac:dyDescent="0.25">
      <c r="A9" s="147"/>
      <c r="B9" s="148"/>
      <c r="C9" s="148"/>
      <c r="D9" s="148"/>
      <c r="E9" s="148"/>
      <c r="F9" s="148"/>
      <c r="G9" s="148"/>
      <c r="H9" s="160"/>
      <c r="I9" s="148"/>
      <c r="J9" s="160"/>
      <c r="K9" s="162"/>
    </row>
    <row r="10" spans="1:76" x14ac:dyDescent="0.25">
      <c r="A10" s="40" t="s">
        <v>102</v>
      </c>
      <c r="B10" s="41" t="s">
        <v>81</v>
      </c>
      <c r="C10" s="41" t="s">
        <v>103</v>
      </c>
      <c r="D10" s="163" t="s">
        <v>104</v>
      </c>
      <c r="E10" s="164"/>
      <c r="F10" s="41" t="s">
        <v>105</v>
      </c>
      <c r="G10" s="42" t="s">
        <v>106</v>
      </c>
      <c r="H10" s="43" t="s">
        <v>107</v>
      </c>
      <c r="I10" s="28" t="s">
        <v>80</v>
      </c>
      <c r="J10" s="44" t="s">
        <v>108</v>
      </c>
      <c r="K10" s="45"/>
      <c r="BK10" s="46" t="s">
        <v>109</v>
      </c>
      <c r="BL10" s="47" t="s">
        <v>110</v>
      </c>
      <c r="BW10" s="47" t="s">
        <v>111</v>
      </c>
    </row>
    <row r="11" spans="1:76" x14ac:dyDescent="0.25">
      <c r="A11" s="48" t="s">
        <v>79</v>
      </c>
      <c r="B11" s="49" t="s">
        <v>79</v>
      </c>
      <c r="C11" s="49" t="s">
        <v>79</v>
      </c>
      <c r="D11" s="153" t="s">
        <v>112</v>
      </c>
      <c r="E11" s="155"/>
      <c r="F11" s="49" t="s">
        <v>79</v>
      </c>
      <c r="G11" s="49" t="s">
        <v>79</v>
      </c>
      <c r="H11" s="50" t="s">
        <v>113</v>
      </c>
      <c r="I11" s="30" t="s">
        <v>83</v>
      </c>
      <c r="J11" s="51" t="s">
        <v>114</v>
      </c>
      <c r="K11" s="52"/>
      <c r="Z11" s="46" t="s">
        <v>115</v>
      </c>
      <c r="AA11" s="46" t="s">
        <v>116</v>
      </c>
      <c r="AB11" s="46" t="s">
        <v>117</v>
      </c>
      <c r="AC11" s="46" t="s">
        <v>118</v>
      </c>
      <c r="AD11" s="46" t="s">
        <v>119</v>
      </c>
      <c r="AE11" s="46" t="s">
        <v>120</v>
      </c>
      <c r="AF11" s="46" t="s">
        <v>121</v>
      </c>
      <c r="AG11" s="46" t="s">
        <v>122</v>
      </c>
      <c r="AH11" s="46" t="s">
        <v>123</v>
      </c>
      <c r="BH11" s="46" t="s">
        <v>124</v>
      </c>
      <c r="BI11" s="46" t="s">
        <v>125</v>
      </c>
      <c r="BJ11" s="46" t="s">
        <v>126</v>
      </c>
    </row>
    <row r="12" spans="1:76" x14ac:dyDescent="0.25">
      <c r="A12" s="53" t="s">
        <v>4</v>
      </c>
      <c r="B12" s="54" t="s">
        <v>84</v>
      </c>
      <c r="C12" s="54" t="s">
        <v>4</v>
      </c>
      <c r="D12" s="165" t="s">
        <v>85</v>
      </c>
      <c r="E12" s="166"/>
      <c r="F12" s="55" t="s">
        <v>79</v>
      </c>
      <c r="G12" s="55" t="s">
        <v>79</v>
      </c>
      <c r="H12" s="56" t="s">
        <v>79</v>
      </c>
      <c r="I12" s="57">
        <f>I13+I16+I19+I27+I36+I39+I63+I156+I219+I223+I263+I267+I285+I288+I305+I345+I370+I402+I460+I500+I545+I549+I553+I573+I617+I670+I735+I772+I791+I819+I828+I832+I839+I844+I850+I860+I987+I1006+I1008+I1015+I1018+I1044+I1069+I1072+I1075</f>
        <v>0</v>
      </c>
      <c r="J12" s="58" t="s">
        <v>4</v>
      </c>
      <c r="K12" s="59"/>
    </row>
    <row r="13" spans="1:76" x14ac:dyDescent="0.25">
      <c r="A13" s="60" t="s">
        <v>4</v>
      </c>
      <c r="B13" s="61" t="s">
        <v>84</v>
      </c>
      <c r="C13" s="61" t="s">
        <v>127</v>
      </c>
      <c r="D13" s="167" t="s">
        <v>128</v>
      </c>
      <c r="E13" s="168"/>
      <c r="F13" s="62" t="s">
        <v>79</v>
      </c>
      <c r="G13" s="62" t="s">
        <v>79</v>
      </c>
      <c r="H13" s="63" t="s">
        <v>79</v>
      </c>
      <c r="I13" s="39">
        <f>SUM(I14:I14)</f>
        <v>0</v>
      </c>
      <c r="J13" s="46" t="s">
        <v>4</v>
      </c>
      <c r="K13" s="59"/>
      <c r="AI13" s="46" t="s">
        <v>84</v>
      </c>
      <c r="AS13" s="39">
        <f>SUM(AJ14:AJ14)</f>
        <v>0</v>
      </c>
      <c r="AT13" s="39">
        <f>SUM(AK14:AK14)</f>
        <v>0</v>
      </c>
      <c r="AU13" s="39">
        <f>SUM(AL14:AL14)</f>
        <v>0</v>
      </c>
    </row>
    <row r="14" spans="1:76" x14ac:dyDescent="0.25">
      <c r="A14" s="1" t="s">
        <v>129</v>
      </c>
      <c r="B14" s="2" t="s">
        <v>84</v>
      </c>
      <c r="C14" s="2" t="s">
        <v>130</v>
      </c>
      <c r="D14" s="86" t="s">
        <v>131</v>
      </c>
      <c r="E14" s="81"/>
      <c r="F14" s="2" t="s">
        <v>132</v>
      </c>
      <c r="G14" s="34">
        <v>16</v>
      </c>
      <c r="H14" s="64">
        <v>0</v>
      </c>
      <c r="I14" s="34">
        <f>ROUND(G14*H14,2)</f>
        <v>0</v>
      </c>
      <c r="J14" s="65" t="s">
        <v>133</v>
      </c>
      <c r="K14" s="59"/>
      <c r="Z14" s="34">
        <f>ROUND(IF(AQ14="5",BJ14,0),2)</f>
        <v>0</v>
      </c>
      <c r="AB14" s="34">
        <f>ROUND(IF(AQ14="1",BH14,0),2)</f>
        <v>0</v>
      </c>
      <c r="AC14" s="34">
        <f>ROUND(IF(AQ14="1",BI14,0),2)</f>
        <v>0</v>
      </c>
      <c r="AD14" s="34">
        <f>ROUND(IF(AQ14="7",BH14,0),2)</f>
        <v>0</v>
      </c>
      <c r="AE14" s="34">
        <f>ROUND(IF(AQ14="7",BI14,0),2)</f>
        <v>0</v>
      </c>
      <c r="AF14" s="34">
        <f>ROUND(IF(AQ14="2",BH14,0),2)</f>
        <v>0</v>
      </c>
      <c r="AG14" s="34">
        <f>ROUND(IF(AQ14="2",BI14,0),2)</f>
        <v>0</v>
      </c>
      <c r="AH14" s="34">
        <f>ROUND(IF(AQ14="0",BJ14,0),2)</f>
        <v>0</v>
      </c>
      <c r="AI14" s="46" t="s">
        <v>84</v>
      </c>
      <c r="AJ14" s="34">
        <f>IF(AN14=0,I14,0)</f>
        <v>0</v>
      </c>
      <c r="AK14" s="34">
        <f>IF(AN14=12,I14,0)</f>
        <v>0</v>
      </c>
      <c r="AL14" s="34">
        <f>IF(AN14=21,I14,0)</f>
        <v>0</v>
      </c>
      <c r="AN14" s="34">
        <v>21</v>
      </c>
      <c r="AO14" s="34">
        <f>H14*0</f>
        <v>0</v>
      </c>
      <c r="AP14" s="34">
        <f>H14*(1-0)</f>
        <v>0</v>
      </c>
      <c r="AQ14" s="65" t="s">
        <v>129</v>
      </c>
      <c r="AV14" s="34">
        <f>ROUND(AW14+AX14,2)</f>
        <v>0</v>
      </c>
      <c r="AW14" s="34">
        <f>ROUND(G14*AO14,2)</f>
        <v>0</v>
      </c>
      <c r="AX14" s="34">
        <f>ROUND(G14*AP14,2)</f>
        <v>0</v>
      </c>
      <c r="AY14" s="65" t="s">
        <v>134</v>
      </c>
      <c r="AZ14" s="65" t="s">
        <v>135</v>
      </c>
      <c r="BA14" s="46" t="s">
        <v>136</v>
      </c>
      <c r="BC14" s="34">
        <f>AW14+AX14</f>
        <v>0</v>
      </c>
      <c r="BD14" s="34">
        <f>H14/(100-BE14)*100</f>
        <v>0</v>
      </c>
      <c r="BE14" s="34">
        <v>0</v>
      </c>
      <c r="BF14" s="34">
        <f>14</f>
        <v>14</v>
      </c>
      <c r="BH14" s="34">
        <f>G14*AO14</f>
        <v>0</v>
      </c>
      <c r="BI14" s="34">
        <f>G14*AP14</f>
        <v>0</v>
      </c>
      <c r="BJ14" s="34">
        <f>G14*H14</f>
        <v>0</v>
      </c>
      <c r="BK14" s="34"/>
      <c r="BL14" s="34">
        <v>11</v>
      </c>
      <c r="BW14" s="34">
        <v>21</v>
      </c>
      <c r="BX14" s="3" t="s">
        <v>131</v>
      </c>
    </row>
    <row r="15" spans="1:76" x14ac:dyDescent="0.25">
      <c r="A15" s="66"/>
      <c r="D15" s="67" t="s">
        <v>137</v>
      </c>
      <c r="E15" s="67" t="s">
        <v>4</v>
      </c>
      <c r="G15" s="68">
        <v>16</v>
      </c>
      <c r="K15" s="59"/>
    </row>
    <row r="16" spans="1:76" x14ac:dyDescent="0.25">
      <c r="A16" s="60" t="s">
        <v>4</v>
      </c>
      <c r="B16" s="61" t="s">
        <v>84</v>
      </c>
      <c r="C16" s="61" t="s">
        <v>138</v>
      </c>
      <c r="D16" s="167" t="s">
        <v>139</v>
      </c>
      <c r="E16" s="168"/>
      <c r="F16" s="62" t="s">
        <v>79</v>
      </c>
      <c r="G16" s="62" t="s">
        <v>79</v>
      </c>
      <c r="H16" s="63" t="s">
        <v>79</v>
      </c>
      <c r="I16" s="39">
        <f>SUM(I17:I17)</f>
        <v>0</v>
      </c>
      <c r="J16" s="46" t="s">
        <v>4</v>
      </c>
      <c r="K16" s="59"/>
      <c r="AI16" s="46" t="s">
        <v>84</v>
      </c>
      <c r="AS16" s="39">
        <f>SUM(AJ17:AJ17)</f>
        <v>0</v>
      </c>
      <c r="AT16" s="39">
        <f>SUM(AK17:AK17)</f>
        <v>0</v>
      </c>
      <c r="AU16" s="39">
        <f>SUM(AL17:AL17)</f>
        <v>0</v>
      </c>
    </row>
    <row r="17" spans="1:76" x14ac:dyDescent="0.25">
      <c r="A17" s="1" t="s">
        <v>140</v>
      </c>
      <c r="B17" s="2" t="s">
        <v>84</v>
      </c>
      <c r="C17" s="2" t="s">
        <v>141</v>
      </c>
      <c r="D17" s="86" t="s">
        <v>142</v>
      </c>
      <c r="E17" s="81"/>
      <c r="F17" s="2" t="s">
        <v>143</v>
      </c>
      <c r="G17" s="34">
        <v>0.78</v>
      </c>
      <c r="H17" s="64">
        <v>0</v>
      </c>
      <c r="I17" s="34">
        <f>ROUND(G17*H17,2)</f>
        <v>0</v>
      </c>
      <c r="J17" s="65" t="s">
        <v>133</v>
      </c>
      <c r="K17" s="59"/>
      <c r="Z17" s="34">
        <f>ROUND(IF(AQ17="5",BJ17,0),2)</f>
        <v>0</v>
      </c>
      <c r="AB17" s="34">
        <f>ROUND(IF(AQ17="1",BH17,0),2)</f>
        <v>0</v>
      </c>
      <c r="AC17" s="34">
        <f>ROUND(IF(AQ17="1",BI17,0),2)</f>
        <v>0</v>
      </c>
      <c r="AD17" s="34">
        <f>ROUND(IF(AQ17="7",BH17,0),2)</f>
        <v>0</v>
      </c>
      <c r="AE17" s="34">
        <f>ROUND(IF(AQ17="7",BI17,0),2)</f>
        <v>0</v>
      </c>
      <c r="AF17" s="34">
        <f>ROUND(IF(AQ17="2",BH17,0),2)</f>
        <v>0</v>
      </c>
      <c r="AG17" s="34">
        <f>ROUND(IF(AQ17="2",BI17,0),2)</f>
        <v>0</v>
      </c>
      <c r="AH17" s="34">
        <f>ROUND(IF(AQ17="0",BJ17,0),2)</f>
        <v>0</v>
      </c>
      <c r="AI17" s="46" t="s">
        <v>84</v>
      </c>
      <c r="AJ17" s="34">
        <f>IF(AN17=0,I17,0)</f>
        <v>0</v>
      </c>
      <c r="AK17" s="34">
        <f>IF(AN17=12,I17,0)</f>
        <v>0</v>
      </c>
      <c r="AL17" s="34">
        <f>IF(AN17=21,I17,0)</f>
        <v>0</v>
      </c>
      <c r="AN17" s="34">
        <v>21</v>
      </c>
      <c r="AO17" s="34">
        <f>H17*0</f>
        <v>0</v>
      </c>
      <c r="AP17" s="34">
        <f>H17*(1-0)</f>
        <v>0</v>
      </c>
      <c r="AQ17" s="65" t="s">
        <v>129</v>
      </c>
      <c r="AV17" s="34">
        <f>ROUND(AW17+AX17,2)</f>
        <v>0</v>
      </c>
      <c r="AW17" s="34">
        <f>ROUND(G17*AO17,2)</f>
        <v>0</v>
      </c>
      <c r="AX17" s="34">
        <f>ROUND(G17*AP17,2)</f>
        <v>0</v>
      </c>
      <c r="AY17" s="65" t="s">
        <v>144</v>
      </c>
      <c r="AZ17" s="65" t="s">
        <v>135</v>
      </c>
      <c r="BA17" s="46" t="s">
        <v>136</v>
      </c>
      <c r="BC17" s="34">
        <f>AW17+AX17</f>
        <v>0</v>
      </c>
      <c r="BD17" s="34">
        <f>H17/(100-BE17)*100</f>
        <v>0</v>
      </c>
      <c r="BE17" s="34">
        <v>0</v>
      </c>
      <c r="BF17" s="34">
        <f>17</f>
        <v>17</v>
      </c>
      <c r="BH17" s="34">
        <f>G17*AO17</f>
        <v>0</v>
      </c>
      <c r="BI17" s="34">
        <f>G17*AP17</f>
        <v>0</v>
      </c>
      <c r="BJ17" s="34">
        <f>G17*H17</f>
        <v>0</v>
      </c>
      <c r="BK17" s="34"/>
      <c r="BL17" s="34">
        <v>12</v>
      </c>
      <c r="BW17" s="34">
        <v>21</v>
      </c>
      <c r="BX17" s="3" t="s">
        <v>142</v>
      </c>
    </row>
    <row r="18" spans="1:76" x14ac:dyDescent="0.25">
      <c r="A18" s="66"/>
      <c r="D18" s="67" t="s">
        <v>145</v>
      </c>
      <c r="E18" s="67" t="s">
        <v>4</v>
      </c>
      <c r="G18" s="68">
        <v>0.78</v>
      </c>
      <c r="K18" s="59"/>
    </row>
    <row r="19" spans="1:76" x14ac:dyDescent="0.25">
      <c r="A19" s="60" t="s">
        <v>4</v>
      </c>
      <c r="B19" s="61" t="s">
        <v>84</v>
      </c>
      <c r="C19" s="61" t="s">
        <v>146</v>
      </c>
      <c r="D19" s="167" t="s">
        <v>147</v>
      </c>
      <c r="E19" s="168"/>
      <c r="F19" s="62" t="s">
        <v>79</v>
      </c>
      <c r="G19" s="62" t="s">
        <v>79</v>
      </c>
      <c r="H19" s="63" t="s">
        <v>79</v>
      </c>
      <c r="I19" s="39">
        <f>SUM(I20:I20)</f>
        <v>0</v>
      </c>
      <c r="J19" s="46" t="s">
        <v>4</v>
      </c>
      <c r="K19" s="59"/>
      <c r="AI19" s="46" t="s">
        <v>84</v>
      </c>
      <c r="AS19" s="39">
        <f>SUM(AJ20:AJ20)</f>
        <v>0</v>
      </c>
      <c r="AT19" s="39">
        <f>SUM(AK20:AK20)</f>
        <v>0</v>
      </c>
      <c r="AU19" s="39">
        <f>SUM(AL20:AL20)</f>
        <v>0</v>
      </c>
    </row>
    <row r="20" spans="1:76" x14ac:dyDescent="0.25">
      <c r="A20" s="1" t="s">
        <v>148</v>
      </c>
      <c r="B20" s="2" t="s">
        <v>84</v>
      </c>
      <c r="C20" s="2" t="s">
        <v>149</v>
      </c>
      <c r="D20" s="86" t="s">
        <v>150</v>
      </c>
      <c r="E20" s="81"/>
      <c r="F20" s="2" t="s">
        <v>143</v>
      </c>
      <c r="G20" s="34">
        <v>17.164999999999999</v>
      </c>
      <c r="H20" s="64">
        <v>0</v>
      </c>
      <c r="I20" s="34">
        <f>ROUND(G20*H20,2)</f>
        <v>0</v>
      </c>
      <c r="J20" s="65" t="s">
        <v>133</v>
      </c>
      <c r="K20" s="59"/>
      <c r="Z20" s="34">
        <f>ROUND(IF(AQ20="5",BJ20,0),2)</f>
        <v>0</v>
      </c>
      <c r="AB20" s="34">
        <f>ROUND(IF(AQ20="1",BH20,0),2)</f>
        <v>0</v>
      </c>
      <c r="AC20" s="34">
        <f>ROUND(IF(AQ20="1",BI20,0),2)</f>
        <v>0</v>
      </c>
      <c r="AD20" s="34">
        <f>ROUND(IF(AQ20="7",BH20,0),2)</f>
        <v>0</v>
      </c>
      <c r="AE20" s="34">
        <f>ROUND(IF(AQ20="7",BI20,0),2)</f>
        <v>0</v>
      </c>
      <c r="AF20" s="34">
        <f>ROUND(IF(AQ20="2",BH20,0),2)</f>
        <v>0</v>
      </c>
      <c r="AG20" s="34">
        <f>ROUND(IF(AQ20="2",BI20,0),2)</f>
        <v>0</v>
      </c>
      <c r="AH20" s="34">
        <f>ROUND(IF(AQ20="0",BJ20,0),2)</f>
        <v>0</v>
      </c>
      <c r="AI20" s="46" t="s">
        <v>84</v>
      </c>
      <c r="AJ20" s="34">
        <f>IF(AN20=0,I20,0)</f>
        <v>0</v>
      </c>
      <c r="AK20" s="34">
        <f>IF(AN20=12,I20,0)</f>
        <v>0</v>
      </c>
      <c r="AL20" s="34">
        <f>IF(AN20=21,I20,0)</f>
        <v>0</v>
      </c>
      <c r="AN20" s="34">
        <v>21</v>
      </c>
      <c r="AO20" s="34">
        <f>H20*0</f>
        <v>0</v>
      </c>
      <c r="AP20" s="34">
        <f>H20*(1-0)</f>
        <v>0</v>
      </c>
      <c r="AQ20" s="65" t="s">
        <v>129</v>
      </c>
      <c r="AV20" s="34">
        <f>ROUND(AW20+AX20,2)</f>
        <v>0</v>
      </c>
      <c r="AW20" s="34">
        <f>ROUND(G20*AO20,2)</f>
        <v>0</v>
      </c>
      <c r="AX20" s="34">
        <f>ROUND(G20*AP20,2)</f>
        <v>0</v>
      </c>
      <c r="AY20" s="65" t="s">
        <v>151</v>
      </c>
      <c r="AZ20" s="65" t="s">
        <v>135</v>
      </c>
      <c r="BA20" s="46" t="s">
        <v>136</v>
      </c>
      <c r="BC20" s="34">
        <f>AW20+AX20</f>
        <v>0</v>
      </c>
      <c r="BD20" s="34">
        <f>H20/(100-BE20)*100</f>
        <v>0</v>
      </c>
      <c r="BE20" s="34">
        <v>0</v>
      </c>
      <c r="BF20" s="34">
        <f>20</f>
        <v>20</v>
      </c>
      <c r="BH20" s="34">
        <f>G20*AO20</f>
        <v>0</v>
      </c>
      <c r="BI20" s="34">
        <f>G20*AP20</f>
        <v>0</v>
      </c>
      <c r="BJ20" s="34">
        <f>G20*H20</f>
        <v>0</v>
      </c>
      <c r="BK20" s="34"/>
      <c r="BL20" s="34">
        <v>13</v>
      </c>
      <c r="BW20" s="34">
        <v>21</v>
      </c>
      <c r="BX20" s="3" t="s">
        <v>150</v>
      </c>
    </row>
    <row r="21" spans="1:76" x14ac:dyDescent="0.25">
      <c r="A21" s="66"/>
      <c r="D21" s="67" t="s">
        <v>152</v>
      </c>
      <c r="E21" s="67" t="s">
        <v>153</v>
      </c>
      <c r="G21" s="68">
        <v>5.625</v>
      </c>
      <c r="K21" s="59"/>
    </row>
    <row r="22" spans="1:76" x14ac:dyDescent="0.25">
      <c r="A22" s="66"/>
      <c r="D22" s="67" t="s">
        <v>154</v>
      </c>
      <c r="E22" s="67" t="s">
        <v>4</v>
      </c>
      <c r="G22" s="68">
        <v>1.425</v>
      </c>
      <c r="K22" s="59"/>
    </row>
    <row r="23" spans="1:76" x14ac:dyDescent="0.25">
      <c r="A23" s="66"/>
      <c r="D23" s="67" t="s">
        <v>154</v>
      </c>
      <c r="E23" s="67" t="s">
        <v>4</v>
      </c>
      <c r="G23" s="68">
        <v>1.425</v>
      </c>
      <c r="K23" s="59"/>
    </row>
    <row r="24" spans="1:76" x14ac:dyDescent="0.25">
      <c r="A24" s="66"/>
      <c r="D24" s="67" t="s">
        <v>155</v>
      </c>
      <c r="E24" s="67" t="s">
        <v>4</v>
      </c>
      <c r="G24" s="68">
        <v>1.65</v>
      </c>
      <c r="K24" s="59"/>
    </row>
    <row r="25" spans="1:76" x14ac:dyDescent="0.25">
      <c r="A25" s="66"/>
      <c r="D25" s="67" t="s">
        <v>156</v>
      </c>
      <c r="E25" s="67" t="s">
        <v>157</v>
      </c>
      <c r="G25" s="68">
        <v>5.76</v>
      </c>
      <c r="K25" s="59"/>
    </row>
    <row r="26" spans="1:76" x14ac:dyDescent="0.25">
      <c r="A26" s="66"/>
      <c r="D26" s="67" t="s">
        <v>158</v>
      </c>
      <c r="E26" s="67" t="s">
        <v>159</v>
      </c>
      <c r="G26" s="68">
        <v>1.28</v>
      </c>
      <c r="K26" s="59"/>
    </row>
    <row r="27" spans="1:76" x14ac:dyDescent="0.25">
      <c r="A27" s="60" t="s">
        <v>4</v>
      </c>
      <c r="B27" s="61" t="s">
        <v>84</v>
      </c>
      <c r="C27" s="61" t="s">
        <v>137</v>
      </c>
      <c r="D27" s="167" t="s">
        <v>160</v>
      </c>
      <c r="E27" s="168"/>
      <c r="F27" s="62" t="s">
        <v>79</v>
      </c>
      <c r="G27" s="62" t="s">
        <v>79</v>
      </c>
      <c r="H27" s="63" t="s">
        <v>79</v>
      </c>
      <c r="I27" s="39">
        <f>SUM(I28:I34)</f>
        <v>0</v>
      </c>
      <c r="J27" s="46" t="s">
        <v>4</v>
      </c>
      <c r="K27" s="59"/>
      <c r="AI27" s="46" t="s">
        <v>84</v>
      </c>
      <c r="AS27" s="39">
        <f>SUM(AJ28:AJ34)</f>
        <v>0</v>
      </c>
      <c r="AT27" s="39">
        <f>SUM(AK28:AK34)</f>
        <v>0</v>
      </c>
      <c r="AU27" s="39">
        <f>SUM(AL28:AL34)</f>
        <v>0</v>
      </c>
    </row>
    <row r="28" spans="1:76" x14ac:dyDescent="0.25">
      <c r="A28" s="1" t="s">
        <v>161</v>
      </c>
      <c r="B28" s="2" t="s">
        <v>84</v>
      </c>
      <c r="C28" s="2" t="s">
        <v>162</v>
      </c>
      <c r="D28" s="86" t="s">
        <v>163</v>
      </c>
      <c r="E28" s="81"/>
      <c r="F28" s="2" t="s">
        <v>143</v>
      </c>
      <c r="G28" s="34">
        <v>17.940000000000001</v>
      </c>
      <c r="H28" s="64">
        <v>0</v>
      </c>
      <c r="I28" s="34">
        <f>ROUND(G28*H28,2)</f>
        <v>0</v>
      </c>
      <c r="J28" s="65" t="s">
        <v>133</v>
      </c>
      <c r="K28" s="59"/>
      <c r="Z28" s="34">
        <f>ROUND(IF(AQ28="5",BJ28,0),2)</f>
        <v>0</v>
      </c>
      <c r="AB28" s="34">
        <f>ROUND(IF(AQ28="1",BH28,0),2)</f>
        <v>0</v>
      </c>
      <c r="AC28" s="34">
        <f>ROUND(IF(AQ28="1",BI28,0),2)</f>
        <v>0</v>
      </c>
      <c r="AD28" s="34">
        <f>ROUND(IF(AQ28="7",BH28,0),2)</f>
        <v>0</v>
      </c>
      <c r="AE28" s="34">
        <f>ROUND(IF(AQ28="7",BI28,0),2)</f>
        <v>0</v>
      </c>
      <c r="AF28" s="34">
        <f>ROUND(IF(AQ28="2",BH28,0),2)</f>
        <v>0</v>
      </c>
      <c r="AG28" s="34">
        <f>ROUND(IF(AQ28="2",BI28,0),2)</f>
        <v>0</v>
      </c>
      <c r="AH28" s="34">
        <f>ROUND(IF(AQ28="0",BJ28,0),2)</f>
        <v>0</v>
      </c>
      <c r="AI28" s="46" t="s">
        <v>84</v>
      </c>
      <c r="AJ28" s="34">
        <f>IF(AN28=0,I28,0)</f>
        <v>0</v>
      </c>
      <c r="AK28" s="34">
        <f>IF(AN28=12,I28,0)</f>
        <v>0</v>
      </c>
      <c r="AL28" s="34">
        <f>IF(AN28=21,I28,0)</f>
        <v>0</v>
      </c>
      <c r="AN28" s="34">
        <v>21</v>
      </c>
      <c r="AO28" s="34">
        <f>H28*0</f>
        <v>0</v>
      </c>
      <c r="AP28" s="34">
        <f>H28*(1-0)</f>
        <v>0</v>
      </c>
      <c r="AQ28" s="65" t="s">
        <v>129</v>
      </c>
      <c r="AV28" s="34">
        <f>ROUND(AW28+AX28,2)</f>
        <v>0</v>
      </c>
      <c r="AW28" s="34">
        <f>ROUND(G28*AO28,2)</f>
        <v>0</v>
      </c>
      <c r="AX28" s="34">
        <f>ROUND(G28*AP28,2)</f>
        <v>0</v>
      </c>
      <c r="AY28" s="65" t="s">
        <v>164</v>
      </c>
      <c r="AZ28" s="65" t="s">
        <v>135</v>
      </c>
      <c r="BA28" s="46" t="s">
        <v>136</v>
      </c>
      <c r="BC28" s="34">
        <f>AW28+AX28</f>
        <v>0</v>
      </c>
      <c r="BD28" s="34">
        <f>H28/(100-BE28)*100</f>
        <v>0</v>
      </c>
      <c r="BE28" s="34">
        <v>0</v>
      </c>
      <c r="BF28" s="34">
        <f>28</f>
        <v>28</v>
      </c>
      <c r="BH28" s="34">
        <f>G28*AO28</f>
        <v>0</v>
      </c>
      <c r="BI28" s="34">
        <f>G28*AP28</f>
        <v>0</v>
      </c>
      <c r="BJ28" s="34">
        <f>G28*H28</f>
        <v>0</v>
      </c>
      <c r="BK28" s="34"/>
      <c r="BL28" s="34">
        <v>16</v>
      </c>
      <c r="BW28" s="34">
        <v>21</v>
      </c>
      <c r="BX28" s="3" t="s">
        <v>163</v>
      </c>
    </row>
    <row r="29" spans="1:76" x14ac:dyDescent="0.25">
      <c r="A29" s="66"/>
      <c r="D29" s="67" t="s">
        <v>165</v>
      </c>
      <c r="E29" s="67" t="s">
        <v>4</v>
      </c>
      <c r="G29" s="68">
        <v>17.940000000000001</v>
      </c>
      <c r="K29" s="59"/>
    </row>
    <row r="30" spans="1:76" x14ac:dyDescent="0.25">
      <c r="A30" s="1" t="s">
        <v>166</v>
      </c>
      <c r="B30" s="2" t="s">
        <v>84</v>
      </c>
      <c r="C30" s="2" t="s">
        <v>167</v>
      </c>
      <c r="D30" s="86" t="s">
        <v>168</v>
      </c>
      <c r="E30" s="81"/>
      <c r="F30" s="2" t="s">
        <v>143</v>
      </c>
      <c r="G30" s="34">
        <v>358.8</v>
      </c>
      <c r="H30" s="64">
        <v>0</v>
      </c>
      <c r="I30" s="34">
        <f>ROUND(G30*H30,2)</f>
        <v>0</v>
      </c>
      <c r="J30" s="65" t="s">
        <v>133</v>
      </c>
      <c r="K30" s="59"/>
      <c r="Z30" s="34">
        <f>ROUND(IF(AQ30="5",BJ30,0),2)</f>
        <v>0</v>
      </c>
      <c r="AB30" s="34">
        <f>ROUND(IF(AQ30="1",BH30,0),2)</f>
        <v>0</v>
      </c>
      <c r="AC30" s="34">
        <f>ROUND(IF(AQ30="1",BI30,0),2)</f>
        <v>0</v>
      </c>
      <c r="AD30" s="34">
        <f>ROUND(IF(AQ30="7",BH30,0),2)</f>
        <v>0</v>
      </c>
      <c r="AE30" s="34">
        <f>ROUND(IF(AQ30="7",BI30,0),2)</f>
        <v>0</v>
      </c>
      <c r="AF30" s="34">
        <f>ROUND(IF(AQ30="2",BH30,0),2)</f>
        <v>0</v>
      </c>
      <c r="AG30" s="34">
        <f>ROUND(IF(AQ30="2",BI30,0),2)</f>
        <v>0</v>
      </c>
      <c r="AH30" s="34">
        <f>ROUND(IF(AQ30="0",BJ30,0),2)</f>
        <v>0</v>
      </c>
      <c r="AI30" s="46" t="s">
        <v>84</v>
      </c>
      <c r="AJ30" s="34">
        <f>IF(AN30=0,I30,0)</f>
        <v>0</v>
      </c>
      <c r="AK30" s="34">
        <f>IF(AN30=12,I30,0)</f>
        <v>0</v>
      </c>
      <c r="AL30" s="34">
        <f>IF(AN30=21,I30,0)</f>
        <v>0</v>
      </c>
      <c r="AN30" s="34">
        <v>21</v>
      </c>
      <c r="AO30" s="34">
        <f>H30*0</f>
        <v>0</v>
      </c>
      <c r="AP30" s="34">
        <f>H30*(1-0)</f>
        <v>0</v>
      </c>
      <c r="AQ30" s="65" t="s">
        <v>129</v>
      </c>
      <c r="AV30" s="34">
        <f>ROUND(AW30+AX30,2)</f>
        <v>0</v>
      </c>
      <c r="AW30" s="34">
        <f>ROUND(G30*AO30,2)</f>
        <v>0</v>
      </c>
      <c r="AX30" s="34">
        <f>ROUND(G30*AP30,2)</f>
        <v>0</v>
      </c>
      <c r="AY30" s="65" t="s">
        <v>164</v>
      </c>
      <c r="AZ30" s="65" t="s">
        <v>135</v>
      </c>
      <c r="BA30" s="46" t="s">
        <v>136</v>
      </c>
      <c r="BC30" s="34">
        <f>AW30+AX30</f>
        <v>0</v>
      </c>
      <c r="BD30" s="34">
        <f>H30/(100-BE30)*100</f>
        <v>0</v>
      </c>
      <c r="BE30" s="34">
        <v>0</v>
      </c>
      <c r="BF30" s="34">
        <f>30</f>
        <v>30</v>
      </c>
      <c r="BH30" s="34">
        <f>G30*AO30</f>
        <v>0</v>
      </c>
      <c r="BI30" s="34">
        <f>G30*AP30</f>
        <v>0</v>
      </c>
      <c r="BJ30" s="34">
        <f>G30*H30</f>
        <v>0</v>
      </c>
      <c r="BK30" s="34"/>
      <c r="BL30" s="34">
        <v>16</v>
      </c>
      <c r="BW30" s="34">
        <v>21</v>
      </c>
      <c r="BX30" s="3" t="s">
        <v>168</v>
      </c>
    </row>
    <row r="31" spans="1:76" x14ac:dyDescent="0.25">
      <c r="A31" s="66"/>
      <c r="D31" s="67" t="s">
        <v>169</v>
      </c>
      <c r="E31" s="67" t="s">
        <v>170</v>
      </c>
      <c r="G31" s="68">
        <v>358.8</v>
      </c>
      <c r="K31" s="59"/>
    </row>
    <row r="32" spans="1:76" x14ac:dyDescent="0.25">
      <c r="A32" s="1" t="s">
        <v>171</v>
      </c>
      <c r="B32" s="2" t="s">
        <v>84</v>
      </c>
      <c r="C32" s="2" t="s">
        <v>172</v>
      </c>
      <c r="D32" s="86" t="s">
        <v>173</v>
      </c>
      <c r="E32" s="81"/>
      <c r="F32" s="2" t="s">
        <v>143</v>
      </c>
      <c r="G32" s="34">
        <v>17.940000000000001</v>
      </c>
      <c r="H32" s="64">
        <v>0</v>
      </c>
      <c r="I32" s="34">
        <f>ROUND(G32*H32,2)</f>
        <v>0</v>
      </c>
      <c r="J32" s="65" t="s">
        <v>133</v>
      </c>
      <c r="K32" s="59"/>
      <c r="Z32" s="34">
        <f>ROUND(IF(AQ32="5",BJ32,0),2)</f>
        <v>0</v>
      </c>
      <c r="AB32" s="34">
        <f>ROUND(IF(AQ32="1",BH32,0),2)</f>
        <v>0</v>
      </c>
      <c r="AC32" s="34">
        <f>ROUND(IF(AQ32="1",BI32,0),2)</f>
        <v>0</v>
      </c>
      <c r="AD32" s="34">
        <f>ROUND(IF(AQ32="7",BH32,0),2)</f>
        <v>0</v>
      </c>
      <c r="AE32" s="34">
        <f>ROUND(IF(AQ32="7",BI32,0),2)</f>
        <v>0</v>
      </c>
      <c r="AF32" s="34">
        <f>ROUND(IF(AQ32="2",BH32,0),2)</f>
        <v>0</v>
      </c>
      <c r="AG32" s="34">
        <f>ROUND(IF(AQ32="2",BI32,0),2)</f>
        <v>0</v>
      </c>
      <c r="AH32" s="34">
        <f>ROUND(IF(AQ32="0",BJ32,0),2)</f>
        <v>0</v>
      </c>
      <c r="AI32" s="46" t="s">
        <v>84</v>
      </c>
      <c r="AJ32" s="34">
        <f>IF(AN32=0,I32,0)</f>
        <v>0</v>
      </c>
      <c r="AK32" s="34">
        <f>IF(AN32=12,I32,0)</f>
        <v>0</v>
      </c>
      <c r="AL32" s="34">
        <f>IF(AN32=21,I32,0)</f>
        <v>0</v>
      </c>
      <c r="AN32" s="34">
        <v>21</v>
      </c>
      <c r="AO32" s="34">
        <f>H32*0</f>
        <v>0</v>
      </c>
      <c r="AP32" s="34">
        <f>H32*(1-0)</f>
        <v>0</v>
      </c>
      <c r="AQ32" s="65" t="s">
        <v>129</v>
      </c>
      <c r="AV32" s="34">
        <f>ROUND(AW32+AX32,2)</f>
        <v>0</v>
      </c>
      <c r="AW32" s="34">
        <f>ROUND(G32*AO32,2)</f>
        <v>0</v>
      </c>
      <c r="AX32" s="34">
        <f>ROUND(G32*AP32,2)</f>
        <v>0</v>
      </c>
      <c r="AY32" s="65" t="s">
        <v>164</v>
      </c>
      <c r="AZ32" s="65" t="s">
        <v>135</v>
      </c>
      <c r="BA32" s="46" t="s">
        <v>136</v>
      </c>
      <c r="BC32" s="34">
        <f>AW32+AX32</f>
        <v>0</v>
      </c>
      <c r="BD32" s="34">
        <f>H32/(100-BE32)*100</f>
        <v>0</v>
      </c>
      <c r="BE32" s="34">
        <v>0</v>
      </c>
      <c r="BF32" s="34">
        <f>32</f>
        <v>32</v>
      </c>
      <c r="BH32" s="34">
        <f>G32*AO32</f>
        <v>0</v>
      </c>
      <c r="BI32" s="34">
        <f>G32*AP32</f>
        <v>0</v>
      </c>
      <c r="BJ32" s="34">
        <f>G32*H32</f>
        <v>0</v>
      </c>
      <c r="BK32" s="34"/>
      <c r="BL32" s="34">
        <v>16</v>
      </c>
      <c r="BW32" s="34">
        <v>21</v>
      </c>
      <c r="BX32" s="3" t="s">
        <v>173</v>
      </c>
    </row>
    <row r="33" spans="1:76" x14ac:dyDescent="0.25">
      <c r="A33" s="66"/>
      <c r="D33" s="67" t="s">
        <v>174</v>
      </c>
      <c r="E33" s="67" t="s">
        <v>4</v>
      </c>
      <c r="G33" s="68">
        <v>17.940000000000001</v>
      </c>
      <c r="K33" s="59"/>
    </row>
    <row r="34" spans="1:76" x14ac:dyDescent="0.25">
      <c r="A34" s="1" t="s">
        <v>175</v>
      </c>
      <c r="B34" s="2" t="s">
        <v>84</v>
      </c>
      <c r="C34" s="2" t="s">
        <v>176</v>
      </c>
      <c r="D34" s="86" t="s">
        <v>177</v>
      </c>
      <c r="E34" s="81"/>
      <c r="F34" s="2" t="s">
        <v>178</v>
      </c>
      <c r="G34" s="34">
        <v>32.292000000000002</v>
      </c>
      <c r="H34" s="64">
        <v>0</v>
      </c>
      <c r="I34" s="34">
        <f>ROUND(G34*H34,2)</f>
        <v>0</v>
      </c>
      <c r="J34" s="65" t="s">
        <v>133</v>
      </c>
      <c r="K34" s="59"/>
      <c r="Z34" s="34">
        <f>ROUND(IF(AQ34="5",BJ34,0),2)</f>
        <v>0</v>
      </c>
      <c r="AB34" s="34">
        <f>ROUND(IF(AQ34="1",BH34,0),2)</f>
        <v>0</v>
      </c>
      <c r="AC34" s="34">
        <f>ROUND(IF(AQ34="1",BI34,0),2)</f>
        <v>0</v>
      </c>
      <c r="AD34" s="34">
        <f>ROUND(IF(AQ34="7",BH34,0),2)</f>
        <v>0</v>
      </c>
      <c r="AE34" s="34">
        <f>ROUND(IF(AQ34="7",BI34,0),2)</f>
        <v>0</v>
      </c>
      <c r="AF34" s="34">
        <f>ROUND(IF(AQ34="2",BH34,0),2)</f>
        <v>0</v>
      </c>
      <c r="AG34" s="34">
        <f>ROUND(IF(AQ34="2",BI34,0),2)</f>
        <v>0</v>
      </c>
      <c r="AH34" s="34">
        <f>ROUND(IF(AQ34="0",BJ34,0),2)</f>
        <v>0</v>
      </c>
      <c r="AI34" s="46" t="s">
        <v>84</v>
      </c>
      <c r="AJ34" s="34">
        <f>IF(AN34=0,I34,0)</f>
        <v>0</v>
      </c>
      <c r="AK34" s="34">
        <f>IF(AN34=12,I34,0)</f>
        <v>0</v>
      </c>
      <c r="AL34" s="34">
        <f>IF(AN34=21,I34,0)</f>
        <v>0</v>
      </c>
      <c r="AN34" s="34">
        <v>21</v>
      </c>
      <c r="AO34" s="34">
        <f>H34*0</f>
        <v>0</v>
      </c>
      <c r="AP34" s="34">
        <f>H34*(1-0)</f>
        <v>0</v>
      </c>
      <c r="AQ34" s="65" t="s">
        <v>166</v>
      </c>
      <c r="AV34" s="34">
        <f>ROUND(AW34+AX34,2)</f>
        <v>0</v>
      </c>
      <c r="AW34" s="34">
        <f>ROUND(G34*AO34,2)</f>
        <v>0</v>
      </c>
      <c r="AX34" s="34">
        <f>ROUND(G34*AP34,2)</f>
        <v>0</v>
      </c>
      <c r="AY34" s="65" t="s">
        <v>164</v>
      </c>
      <c r="AZ34" s="65" t="s">
        <v>135</v>
      </c>
      <c r="BA34" s="46" t="s">
        <v>136</v>
      </c>
      <c r="BC34" s="34">
        <f>AW34+AX34</f>
        <v>0</v>
      </c>
      <c r="BD34" s="34">
        <f>H34/(100-BE34)*100</f>
        <v>0</v>
      </c>
      <c r="BE34" s="34">
        <v>0</v>
      </c>
      <c r="BF34" s="34">
        <f>34</f>
        <v>34</v>
      </c>
      <c r="BH34" s="34">
        <f>G34*AO34</f>
        <v>0</v>
      </c>
      <c r="BI34" s="34">
        <f>G34*AP34</f>
        <v>0</v>
      </c>
      <c r="BJ34" s="34">
        <f>G34*H34</f>
        <v>0</v>
      </c>
      <c r="BK34" s="34"/>
      <c r="BL34" s="34">
        <v>16</v>
      </c>
      <c r="BW34" s="34">
        <v>21</v>
      </c>
      <c r="BX34" s="3" t="s">
        <v>177</v>
      </c>
    </row>
    <row r="35" spans="1:76" x14ac:dyDescent="0.25">
      <c r="A35" s="66"/>
      <c r="D35" s="67" t="s">
        <v>179</v>
      </c>
      <c r="E35" s="67" t="s">
        <v>4</v>
      </c>
      <c r="G35" s="68">
        <v>32.292000000000002</v>
      </c>
      <c r="K35" s="59"/>
    </row>
    <row r="36" spans="1:76" x14ac:dyDescent="0.25">
      <c r="A36" s="60" t="s">
        <v>4</v>
      </c>
      <c r="B36" s="61" t="s">
        <v>84</v>
      </c>
      <c r="C36" s="61" t="s">
        <v>180</v>
      </c>
      <c r="D36" s="167" t="s">
        <v>181</v>
      </c>
      <c r="E36" s="168"/>
      <c r="F36" s="62" t="s">
        <v>79</v>
      </c>
      <c r="G36" s="62" t="s">
        <v>79</v>
      </c>
      <c r="H36" s="63" t="s">
        <v>79</v>
      </c>
      <c r="I36" s="39">
        <f>SUM(I37:I37)</f>
        <v>0</v>
      </c>
      <c r="J36" s="46" t="s">
        <v>4</v>
      </c>
      <c r="K36" s="59"/>
      <c r="AI36" s="46" t="s">
        <v>84</v>
      </c>
      <c r="AS36" s="39">
        <f>SUM(AJ37:AJ37)</f>
        <v>0</v>
      </c>
      <c r="AT36" s="39">
        <f>SUM(AK37:AK37)</f>
        <v>0</v>
      </c>
      <c r="AU36" s="39">
        <f>SUM(AL37:AL37)</f>
        <v>0</v>
      </c>
    </row>
    <row r="37" spans="1:76" x14ac:dyDescent="0.25">
      <c r="A37" s="1" t="s">
        <v>182</v>
      </c>
      <c r="B37" s="2" t="s">
        <v>84</v>
      </c>
      <c r="C37" s="2" t="s">
        <v>183</v>
      </c>
      <c r="D37" s="86" t="s">
        <v>184</v>
      </c>
      <c r="E37" s="81"/>
      <c r="F37" s="2" t="s">
        <v>143</v>
      </c>
      <c r="G37" s="34">
        <v>1.28</v>
      </c>
      <c r="H37" s="64">
        <v>0</v>
      </c>
      <c r="I37" s="34">
        <f>ROUND(G37*H37,2)</f>
        <v>0</v>
      </c>
      <c r="J37" s="65" t="s">
        <v>133</v>
      </c>
      <c r="K37" s="59"/>
      <c r="Z37" s="34">
        <f>ROUND(IF(AQ37="5",BJ37,0),2)</f>
        <v>0</v>
      </c>
      <c r="AB37" s="34">
        <f>ROUND(IF(AQ37="1",BH37,0),2)</f>
        <v>0</v>
      </c>
      <c r="AC37" s="34">
        <f>ROUND(IF(AQ37="1",BI37,0),2)</f>
        <v>0</v>
      </c>
      <c r="AD37" s="34">
        <f>ROUND(IF(AQ37="7",BH37,0),2)</f>
        <v>0</v>
      </c>
      <c r="AE37" s="34">
        <f>ROUND(IF(AQ37="7",BI37,0),2)</f>
        <v>0</v>
      </c>
      <c r="AF37" s="34">
        <f>ROUND(IF(AQ37="2",BH37,0),2)</f>
        <v>0</v>
      </c>
      <c r="AG37" s="34">
        <f>ROUND(IF(AQ37="2",BI37,0),2)</f>
        <v>0</v>
      </c>
      <c r="AH37" s="34">
        <f>ROUND(IF(AQ37="0",BJ37,0),2)</f>
        <v>0</v>
      </c>
      <c r="AI37" s="46" t="s">
        <v>84</v>
      </c>
      <c r="AJ37" s="34">
        <f>IF(AN37=0,I37,0)</f>
        <v>0</v>
      </c>
      <c r="AK37" s="34">
        <f>IF(AN37=12,I37,0)</f>
        <v>0</v>
      </c>
      <c r="AL37" s="34">
        <f>IF(AN37=21,I37,0)</f>
        <v>0</v>
      </c>
      <c r="AN37" s="34">
        <v>21</v>
      </c>
      <c r="AO37" s="34">
        <f>H37*0</f>
        <v>0</v>
      </c>
      <c r="AP37" s="34">
        <f>H37*(1-0)</f>
        <v>0</v>
      </c>
      <c r="AQ37" s="65" t="s">
        <v>129</v>
      </c>
      <c r="AV37" s="34">
        <f>ROUND(AW37+AX37,2)</f>
        <v>0</v>
      </c>
      <c r="AW37" s="34">
        <f>ROUND(G37*AO37,2)</f>
        <v>0</v>
      </c>
      <c r="AX37" s="34">
        <f>ROUND(G37*AP37,2)</f>
        <v>0</v>
      </c>
      <c r="AY37" s="65" t="s">
        <v>185</v>
      </c>
      <c r="AZ37" s="65" t="s">
        <v>135</v>
      </c>
      <c r="BA37" s="46" t="s">
        <v>136</v>
      </c>
      <c r="BC37" s="34">
        <f>AW37+AX37</f>
        <v>0</v>
      </c>
      <c r="BD37" s="34">
        <f>H37/(100-BE37)*100</f>
        <v>0</v>
      </c>
      <c r="BE37" s="34">
        <v>0</v>
      </c>
      <c r="BF37" s="34">
        <f>37</f>
        <v>37</v>
      </c>
      <c r="BH37" s="34">
        <f>G37*AO37</f>
        <v>0</v>
      </c>
      <c r="BI37" s="34">
        <f>G37*AP37</f>
        <v>0</v>
      </c>
      <c r="BJ37" s="34">
        <f>G37*H37</f>
        <v>0</v>
      </c>
      <c r="BK37" s="34"/>
      <c r="BL37" s="34">
        <v>17</v>
      </c>
      <c r="BW37" s="34">
        <v>21</v>
      </c>
      <c r="BX37" s="3" t="s">
        <v>184</v>
      </c>
    </row>
    <row r="38" spans="1:76" x14ac:dyDescent="0.25">
      <c r="A38" s="66"/>
      <c r="D38" s="67" t="s">
        <v>158</v>
      </c>
      <c r="E38" s="67" t="s">
        <v>186</v>
      </c>
      <c r="G38" s="68">
        <v>1.28</v>
      </c>
      <c r="K38" s="59"/>
    </row>
    <row r="39" spans="1:76" x14ac:dyDescent="0.25">
      <c r="A39" s="60" t="s">
        <v>4</v>
      </c>
      <c r="B39" s="61" t="s">
        <v>84</v>
      </c>
      <c r="C39" s="61" t="s">
        <v>187</v>
      </c>
      <c r="D39" s="167" t="s">
        <v>188</v>
      </c>
      <c r="E39" s="168"/>
      <c r="F39" s="62" t="s">
        <v>79</v>
      </c>
      <c r="G39" s="62" t="s">
        <v>79</v>
      </c>
      <c r="H39" s="63" t="s">
        <v>79</v>
      </c>
      <c r="I39" s="39">
        <f>SUM(I40:I60)</f>
        <v>0</v>
      </c>
      <c r="J39" s="46" t="s">
        <v>4</v>
      </c>
      <c r="K39" s="59"/>
      <c r="AI39" s="46" t="s">
        <v>84</v>
      </c>
      <c r="AS39" s="39">
        <f>SUM(AJ40:AJ60)</f>
        <v>0</v>
      </c>
      <c r="AT39" s="39">
        <f>SUM(AK40:AK60)</f>
        <v>0</v>
      </c>
      <c r="AU39" s="39">
        <f>SUM(AL40:AL60)</f>
        <v>0</v>
      </c>
    </row>
    <row r="40" spans="1:76" x14ac:dyDescent="0.25">
      <c r="A40" s="1" t="s">
        <v>189</v>
      </c>
      <c r="B40" s="2" t="s">
        <v>84</v>
      </c>
      <c r="C40" s="2" t="s">
        <v>190</v>
      </c>
      <c r="D40" s="86" t="s">
        <v>191</v>
      </c>
      <c r="E40" s="81"/>
      <c r="F40" s="2" t="s">
        <v>143</v>
      </c>
      <c r="G40" s="34">
        <v>29.52</v>
      </c>
      <c r="H40" s="64">
        <v>0</v>
      </c>
      <c r="I40" s="34">
        <f>ROUND(G40*H40,2)</f>
        <v>0</v>
      </c>
      <c r="J40" s="65" t="s">
        <v>133</v>
      </c>
      <c r="K40" s="59"/>
      <c r="Z40" s="34">
        <f>ROUND(IF(AQ40="5",BJ40,0),2)</f>
        <v>0</v>
      </c>
      <c r="AB40" s="34">
        <f>ROUND(IF(AQ40="1",BH40,0),2)</f>
        <v>0</v>
      </c>
      <c r="AC40" s="34">
        <f>ROUND(IF(AQ40="1",BI40,0),2)</f>
        <v>0</v>
      </c>
      <c r="AD40" s="34">
        <f>ROUND(IF(AQ40="7",BH40,0),2)</f>
        <v>0</v>
      </c>
      <c r="AE40" s="34">
        <f>ROUND(IF(AQ40="7",BI40,0),2)</f>
        <v>0</v>
      </c>
      <c r="AF40" s="34">
        <f>ROUND(IF(AQ40="2",BH40,0),2)</f>
        <v>0</v>
      </c>
      <c r="AG40" s="34">
        <f>ROUND(IF(AQ40="2",BI40,0),2)</f>
        <v>0</v>
      </c>
      <c r="AH40" s="34">
        <f>ROUND(IF(AQ40="0",BJ40,0),2)</f>
        <v>0</v>
      </c>
      <c r="AI40" s="46" t="s">
        <v>84</v>
      </c>
      <c r="AJ40" s="34">
        <f>IF(AN40=0,I40,0)</f>
        <v>0</v>
      </c>
      <c r="AK40" s="34">
        <f>IF(AN40=12,I40,0)</f>
        <v>0</v>
      </c>
      <c r="AL40" s="34">
        <f>IF(AN40=21,I40,0)</f>
        <v>0</v>
      </c>
      <c r="AN40" s="34">
        <v>21</v>
      </c>
      <c r="AO40" s="34">
        <f>H40*0.666169052</f>
        <v>0</v>
      </c>
      <c r="AP40" s="34">
        <f>H40*(1-0.666169052)</f>
        <v>0</v>
      </c>
      <c r="AQ40" s="65" t="s">
        <v>129</v>
      </c>
      <c r="AV40" s="34">
        <f>ROUND(AW40+AX40,2)</f>
        <v>0</v>
      </c>
      <c r="AW40" s="34">
        <f>ROUND(G40*AO40,2)</f>
        <v>0</v>
      </c>
      <c r="AX40" s="34">
        <f>ROUND(G40*AP40,2)</f>
        <v>0</v>
      </c>
      <c r="AY40" s="65" t="s">
        <v>192</v>
      </c>
      <c r="AZ40" s="65" t="s">
        <v>193</v>
      </c>
      <c r="BA40" s="46" t="s">
        <v>136</v>
      </c>
      <c r="BC40" s="34">
        <f>AW40+AX40</f>
        <v>0</v>
      </c>
      <c r="BD40" s="34">
        <f>H40/(100-BE40)*100</f>
        <v>0</v>
      </c>
      <c r="BE40" s="34">
        <v>0</v>
      </c>
      <c r="BF40" s="34">
        <f>40</f>
        <v>40</v>
      </c>
      <c r="BH40" s="34">
        <f>G40*AO40</f>
        <v>0</v>
      </c>
      <c r="BI40" s="34">
        <f>G40*AP40</f>
        <v>0</v>
      </c>
      <c r="BJ40" s="34">
        <f>G40*H40</f>
        <v>0</v>
      </c>
      <c r="BK40" s="34"/>
      <c r="BL40" s="34">
        <v>27</v>
      </c>
      <c r="BW40" s="34">
        <v>21</v>
      </c>
      <c r="BX40" s="3" t="s">
        <v>191</v>
      </c>
    </row>
    <row r="41" spans="1:76" x14ac:dyDescent="0.25">
      <c r="A41" s="66"/>
      <c r="D41" s="67" t="s">
        <v>194</v>
      </c>
      <c r="E41" s="67" t="s">
        <v>195</v>
      </c>
      <c r="G41" s="68">
        <v>6.84</v>
      </c>
      <c r="K41" s="59"/>
    </row>
    <row r="42" spans="1:76" x14ac:dyDescent="0.25">
      <c r="A42" s="66"/>
      <c r="D42" s="67" t="s">
        <v>196</v>
      </c>
      <c r="E42" s="67" t="s">
        <v>197</v>
      </c>
      <c r="G42" s="68">
        <v>22.68</v>
      </c>
      <c r="K42" s="59"/>
    </row>
    <row r="43" spans="1:76" x14ac:dyDescent="0.25">
      <c r="A43" s="1" t="s">
        <v>198</v>
      </c>
      <c r="B43" s="2" t="s">
        <v>84</v>
      </c>
      <c r="C43" s="2" t="s">
        <v>199</v>
      </c>
      <c r="D43" s="86" t="s">
        <v>200</v>
      </c>
      <c r="E43" s="81"/>
      <c r="F43" s="2" t="s">
        <v>143</v>
      </c>
      <c r="G43" s="34">
        <v>29.52</v>
      </c>
      <c r="H43" s="64">
        <v>0</v>
      </c>
      <c r="I43" s="34">
        <f>ROUND(G43*H43,2)</f>
        <v>0</v>
      </c>
      <c r="J43" s="65" t="s">
        <v>133</v>
      </c>
      <c r="K43" s="59"/>
      <c r="Z43" s="34">
        <f>ROUND(IF(AQ43="5",BJ43,0),2)</f>
        <v>0</v>
      </c>
      <c r="AB43" s="34">
        <f>ROUND(IF(AQ43="1",BH43,0),2)</f>
        <v>0</v>
      </c>
      <c r="AC43" s="34">
        <f>ROUND(IF(AQ43="1",BI43,0),2)</f>
        <v>0</v>
      </c>
      <c r="AD43" s="34">
        <f>ROUND(IF(AQ43="7",BH43,0),2)</f>
        <v>0</v>
      </c>
      <c r="AE43" s="34">
        <f>ROUND(IF(AQ43="7",BI43,0),2)</f>
        <v>0</v>
      </c>
      <c r="AF43" s="34">
        <f>ROUND(IF(AQ43="2",BH43,0),2)</f>
        <v>0</v>
      </c>
      <c r="AG43" s="34">
        <f>ROUND(IF(AQ43="2",BI43,0),2)</f>
        <v>0</v>
      </c>
      <c r="AH43" s="34">
        <f>ROUND(IF(AQ43="0",BJ43,0),2)</f>
        <v>0</v>
      </c>
      <c r="AI43" s="46" t="s">
        <v>84</v>
      </c>
      <c r="AJ43" s="34">
        <f>IF(AN43=0,I43,0)</f>
        <v>0</v>
      </c>
      <c r="AK43" s="34">
        <f>IF(AN43=12,I43,0)</f>
        <v>0</v>
      </c>
      <c r="AL43" s="34">
        <f>IF(AN43=21,I43,0)</f>
        <v>0</v>
      </c>
      <c r="AN43" s="34">
        <v>21</v>
      </c>
      <c r="AO43" s="34">
        <f>H43*0</f>
        <v>0</v>
      </c>
      <c r="AP43" s="34">
        <f>H43*(1-0)</f>
        <v>0</v>
      </c>
      <c r="AQ43" s="65" t="s">
        <v>129</v>
      </c>
      <c r="AV43" s="34">
        <f>ROUND(AW43+AX43,2)</f>
        <v>0</v>
      </c>
      <c r="AW43" s="34">
        <f>ROUND(G43*AO43,2)</f>
        <v>0</v>
      </c>
      <c r="AX43" s="34">
        <f>ROUND(G43*AP43,2)</f>
        <v>0</v>
      </c>
      <c r="AY43" s="65" t="s">
        <v>192</v>
      </c>
      <c r="AZ43" s="65" t="s">
        <v>193</v>
      </c>
      <c r="BA43" s="46" t="s">
        <v>136</v>
      </c>
      <c r="BC43" s="34">
        <f>AW43+AX43</f>
        <v>0</v>
      </c>
      <c r="BD43" s="34">
        <f>H43/(100-BE43)*100</f>
        <v>0</v>
      </c>
      <c r="BE43" s="34">
        <v>0</v>
      </c>
      <c r="BF43" s="34">
        <f>43</f>
        <v>43</v>
      </c>
      <c r="BH43" s="34">
        <f>G43*AO43</f>
        <v>0</v>
      </c>
      <c r="BI43" s="34">
        <f>G43*AP43</f>
        <v>0</v>
      </c>
      <c r="BJ43" s="34">
        <f>G43*H43</f>
        <v>0</v>
      </c>
      <c r="BK43" s="34"/>
      <c r="BL43" s="34">
        <v>27</v>
      </c>
      <c r="BW43" s="34">
        <v>21</v>
      </c>
      <c r="BX43" s="3" t="s">
        <v>200</v>
      </c>
    </row>
    <row r="44" spans="1:76" x14ac:dyDescent="0.25">
      <c r="A44" s="66"/>
      <c r="D44" s="67" t="s">
        <v>201</v>
      </c>
      <c r="E44" s="67" t="s">
        <v>4</v>
      </c>
      <c r="G44" s="68">
        <v>29.52</v>
      </c>
      <c r="K44" s="59"/>
    </row>
    <row r="45" spans="1:76" x14ac:dyDescent="0.25">
      <c r="A45" s="1" t="s">
        <v>127</v>
      </c>
      <c r="B45" s="2" t="s">
        <v>84</v>
      </c>
      <c r="C45" s="2" t="s">
        <v>202</v>
      </c>
      <c r="D45" s="86" t="s">
        <v>203</v>
      </c>
      <c r="E45" s="81"/>
      <c r="F45" s="2" t="s">
        <v>143</v>
      </c>
      <c r="G45" s="34">
        <v>46.65</v>
      </c>
      <c r="H45" s="64">
        <v>0</v>
      </c>
      <c r="I45" s="34">
        <f>ROUND(G45*H45,2)</f>
        <v>0</v>
      </c>
      <c r="J45" s="65" t="s">
        <v>133</v>
      </c>
      <c r="K45" s="59"/>
      <c r="Z45" s="34">
        <f>ROUND(IF(AQ45="5",BJ45,0),2)</f>
        <v>0</v>
      </c>
      <c r="AB45" s="34">
        <f>ROUND(IF(AQ45="1",BH45,0),2)</f>
        <v>0</v>
      </c>
      <c r="AC45" s="34">
        <f>ROUND(IF(AQ45="1",BI45,0),2)</f>
        <v>0</v>
      </c>
      <c r="AD45" s="34">
        <f>ROUND(IF(AQ45="7",BH45,0),2)</f>
        <v>0</v>
      </c>
      <c r="AE45" s="34">
        <f>ROUND(IF(AQ45="7",BI45,0),2)</f>
        <v>0</v>
      </c>
      <c r="AF45" s="34">
        <f>ROUND(IF(AQ45="2",BH45,0),2)</f>
        <v>0</v>
      </c>
      <c r="AG45" s="34">
        <f>ROUND(IF(AQ45="2",BI45,0),2)</f>
        <v>0</v>
      </c>
      <c r="AH45" s="34">
        <f>ROUND(IF(AQ45="0",BJ45,0),2)</f>
        <v>0</v>
      </c>
      <c r="AI45" s="46" t="s">
        <v>84</v>
      </c>
      <c r="AJ45" s="34">
        <f>IF(AN45=0,I45,0)</f>
        <v>0</v>
      </c>
      <c r="AK45" s="34">
        <f>IF(AN45=12,I45,0)</f>
        <v>0</v>
      </c>
      <c r="AL45" s="34">
        <f>IF(AN45=21,I45,0)</f>
        <v>0</v>
      </c>
      <c r="AN45" s="34">
        <v>21</v>
      </c>
      <c r="AO45" s="34">
        <f>H45*0.908473993</f>
        <v>0</v>
      </c>
      <c r="AP45" s="34">
        <f>H45*(1-0.908473993)</f>
        <v>0</v>
      </c>
      <c r="AQ45" s="65" t="s">
        <v>129</v>
      </c>
      <c r="AV45" s="34">
        <f>ROUND(AW45+AX45,2)</f>
        <v>0</v>
      </c>
      <c r="AW45" s="34">
        <f>ROUND(G45*AO45,2)</f>
        <v>0</v>
      </c>
      <c r="AX45" s="34">
        <f>ROUND(G45*AP45,2)</f>
        <v>0</v>
      </c>
      <c r="AY45" s="65" t="s">
        <v>192</v>
      </c>
      <c r="AZ45" s="65" t="s">
        <v>193</v>
      </c>
      <c r="BA45" s="46" t="s">
        <v>136</v>
      </c>
      <c r="BC45" s="34">
        <f>AW45+AX45</f>
        <v>0</v>
      </c>
      <c r="BD45" s="34">
        <f>H45/(100-BE45)*100</f>
        <v>0</v>
      </c>
      <c r="BE45" s="34">
        <v>0</v>
      </c>
      <c r="BF45" s="34">
        <f>45</f>
        <v>45</v>
      </c>
      <c r="BH45" s="34">
        <f>G45*AO45</f>
        <v>0</v>
      </c>
      <c r="BI45" s="34">
        <f>G45*AP45</f>
        <v>0</v>
      </c>
      <c r="BJ45" s="34">
        <f>G45*H45</f>
        <v>0</v>
      </c>
      <c r="BK45" s="34"/>
      <c r="BL45" s="34">
        <v>27</v>
      </c>
      <c r="BW45" s="34">
        <v>21</v>
      </c>
      <c r="BX45" s="3" t="s">
        <v>203</v>
      </c>
    </row>
    <row r="46" spans="1:76" ht="13.5" customHeight="1" x14ac:dyDescent="0.25">
      <c r="A46" s="66"/>
      <c r="C46" s="69" t="s">
        <v>204</v>
      </c>
      <c r="D46" s="169" t="s">
        <v>205</v>
      </c>
      <c r="E46" s="170"/>
      <c r="F46" s="170"/>
      <c r="G46" s="170"/>
      <c r="H46" s="171"/>
      <c r="I46" s="170"/>
      <c r="J46" s="170"/>
      <c r="K46" s="172"/>
    </row>
    <row r="47" spans="1:76" x14ac:dyDescent="0.25">
      <c r="A47" s="66"/>
      <c r="D47" s="67" t="s">
        <v>206</v>
      </c>
      <c r="E47" s="67" t="s">
        <v>207</v>
      </c>
      <c r="G47" s="68">
        <v>10.26</v>
      </c>
      <c r="K47" s="59"/>
    </row>
    <row r="48" spans="1:76" x14ac:dyDescent="0.25">
      <c r="A48" s="66"/>
      <c r="D48" s="67" t="s">
        <v>208</v>
      </c>
      <c r="E48" s="67" t="s">
        <v>209</v>
      </c>
      <c r="G48" s="68">
        <v>0.27</v>
      </c>
      <c r="K48" s="59"/>
    </row>
    <row r="49" spans="1:76" x14ac:dyDescent="0.25">
      <c r="A49" s="66"/>
      <c r="D49" s="67" t="s">
        <v>210</v>
      </c>
      <c r="E49" s="67" t="s">
        <v>211</v>
      </c>
      <c r="G49" s="68">
        <v>0.9</v>
      </c>
      <c r="K49" s="59"/>
    </row>
    <row r="50" spans="1:76" x14ac:dyDescent="0.25">
      <c r="A50" s="66"/>
      <c r="D50" s="67" t="s">
        <v>212</v>
      </c>
      <c r="E50" s="67" t="s">
        <v>213</v>
      </c>
      <c r="G50" s="68">
        <v>1.2</v>
      </c>
      <c r="K50" s="59"/>
    </row>
    <row r="51" spans="1:76" x14ac:dyDescent="0.25">
      <c r="A51" s="66"/>
      <c r="D51" s="67" t="s">
        <v>214</v>
      </c>
      <c r="E51" s="67" t="s">
        <v>215</v>
      </c>
      <c r="G51" s="68">
        <v>34.020000000000003</v>
      </c>
      <c r="K51" s="59"/>
    </row>
    <row r="52" spans="1:76" x14ac:dyDescent="0.25">
      <c r="A52" s="1" t="s">
        <v>138</v>
      </c>
      <c r="B52" s="2" t="s">
        <v>84</v>
      </c>
      <c r="C52" s="2" t="s">
        <v>216</v>
      </c>
      <c r="D52" s="86" t="s">
        <v>217</v>
      </c>
      <c r="E52" s="81"/>
      <c r="F52" s="2" t="s">
        <v>178</v>
      </c>
      <c r="G52" s="34">
        <v>1.4652000000000001</v>
      </c>
      <c r="H52" s="64">
        <v>0</v>
      </c>
      <c r="I52" s="34">
        <f>ROUND(G52*H52,2)</f>
        <v>0</v>
      </c>
      <c r="J52" s="65" t="s">
        <v>133</v>
      </c>
      <c r="K52" s="59"/>
      <c r="Z52" s="34">
        <f>ROUND(IF(AQ52="5",BJ52,0),2)</f>
        <v>0</v>
      </c>
      <c r="AB52" s="34">
        <f>ROUND(IF(AQ52="1",BH52,0),2)</f>
        <v>0</v>
      </c>
      <c r="AC52" s="34">
        <f>ROUND(IF(AQ52="1",BI52,0),2)</f>
        <v>0</v>
      </c>
      <c r="AD52" s="34">
        <f>ROUND(IF(AQ52="7",BH52,0),2)</f>
        <v>0</v>
      </c>
      <c r="AE52" s="34">
        <f>ROUND(IF(AQ52="7",BI52,0),2)</f>
        <v>0</v>
      </c>
      <c r="AF52" s="34">
        <f>ROUND(IF(AQ52="2",BH52,0),2)</f>
        <v>0</v>
      </c>
      <c r="AG52" s="34">
        <f>ROUND(IF(AQ52="2",BI52,0),2)</f>
        <v>0</v>
      </c>
      <c r="AH52" s="34">
        <f>ROUND(IF(AQ52="0",BJ52,0),2)</f>
        <v>0</v>
      </c>
      <c r="AI52" s="46" t="s">
        <v>84</v>
      </c>
      <c r="AJ52" s="34">
        <f>IF(AN52=0,I52,0)</f>
        <v>0</v>
      </c>
      <c r="AK52" s="34">
        <f>IF(AN52=12,I52,0)</f>
        <v>0</v>
      </c>
      <c r="AL52" s="34">
        <f>IF(AN52=21,I52,0)</f>
        <v>0</v>
      </c>
      <c r="AN52" s="34">
        <v>21</v>
      </c>
      <c r="AO52" s="34">
        <f>H52*0.784071351</f>
        <v>0</v>
      </c>
      <c r="AP52" s="34">
        <f>H52*(1-0.784071351)</f>
        <v>0</v>
      </c>
      <c r="AQ52" s="65" t="s">
        <v>129</v>
      </c>
      <c r="AV52" s="34">
        <f>ROUND(AW52+AX52,2)</f>
        <v>0</v>
      </c>
      <c r="AW52" s="34">
        <f>ROUND(G52*AO52,2)</f>
        <v>0</v>
      </c>
      <c r="AX52" s="34">
        <f>ROUND(G52*AP52,2)</f>
        <v>0</v>
      </c>
      <c r="AY52" s="65" t="s">
        <v>192</v>
      </c>
      <c r="AZ52" s="65" t="s">
        <v>193</v>
      </c>
      <c r="BA52" s="46" t="s">
        <v>136</v>
      </c>
      <c r="BC52" s="34">
        <f>AW52+AX52</f>
        <v>0</v>
      </c>
      <c r="BD52" s="34">
        <f>H52/(100-BE52)*100</f>
        <v>0</v>
      </c>
      <c r="BE52" s="34">
        <v>0</v>
      </c>
      <c r="BF52" s="34">
        <f>52</f>
        <v>52</v>
      </c>
      <c r="BH52" s="34">
        <f>G52*AO52</f>
        <v>0</v>
      </c>
      <c r="BI52" s="34">
        <f>G52*AP52</f>
        <v>0</v>
      </c>
      <c r="BJ52" s="34">
        <f>G52*H52</f>
        <v>0</v>
      </c>
      <c r="BK52" s="34"/>
      <c r="BL52" s="34">
        <v>27</v>
      </c>
      <c r="BW52" s="34">
        <v>21</v>
      </c>
      <c r="BX52" s="3" t="s">
        <v>217</v>
      </c>
    </row>
    <row r="53" spans="1:76" ht="13.5" customHeight="1" x14ac:dyDescent="0.25">
      <c r="A53" s="66"/>
      <c r="C53" s="69" t="s">
        <v>204</v>
      </c>
      <c r="D53" s="169" t="s">
        <v>218</v>
      </c>
      <c r="E53" s="170"/>
      <c r="F53" s="170"/>
      <c r="G53" s="170"/>
      <c r="H53" s="171"/>
      <c r="I53" s="170"/>
      <c r="J53" s="170"/>
      <c r="K53" s="172"/>
    </row>
    <row r="54" spans="1:76" x14ac:dyDescent="0.25">
      <c r="A54" s="66"/>
      <c r="D54" s="67" t="s">
        <v>219</v>
      </c>
      <c r="E54" s="67" t="s">
        <v>220</v>
      </c>
      <c r="G54" s="68">
        <v>0.37296000000000001</v>
      </c>
      <c r="K54" s="59"/>
    </row>
    <row r="55" spans="1:76" x14ac:dyDescent="0.25">
      <c r="A55" s="66"/>
      <c r="D55" s="67" t="s">
        <v>221</v>
      </c>
      <c r="E55" s="67" t="s">
        <v>222</v>
      </c>
      <c r="G55" s="68">
        <v>2.664E-2</v>
      </c>
      <c r="K55" s="59"/>
    </row>
    <row r="56" spans="1:76" x14ac:dyDescent="0.25">
      <c r="A56" s="66"/>
      <c r="D56" s="67" t="s">
        <v>223</v>
      </c>
      <c r="E56" s="67" t="s">
        <v>224</v>
      </c>
      <c r="G56" s="68">
        <v>1.0656000000000001</v>
      </c>
      <c r="K56" s="59"/>
    </row>
    <row r="57" spans="1:76" x14ac:dyDescent="0.25">
      <c r="A57" s="1" t="s">
        <v>146</v>
      </c>
      <c r="B57" s="2" t="s">
        <v>84</v>
      </c>
      <c r="C57" s="2" t="s">
        <v>225</v>
      </c>
      <c r="D57" s="86" t="s">
        <v>226</v>
      </c>
      <c r="E57" s="81"/>
      <c r="F57" s="2" t="s">
        <v>132</v>
      </c>
      <c r="G57" s="34">
        <v>4.4000000000000004</v>
      </c>
      <c r="H57" s="64">
        <v>0</v>
      </c>
      <c r="I57" s="34">
        <f>ROUND(G57*H57,2)</f>
        <v>0</v>
      </c>
      <c r="J57" s="65" t="s">
        <v>133</v>
      </c>
      <c r="K57" s="59"/>
      <c r="Z57" s="34">
        <f>ROUND(IF(AQ57="5",BJ57,0),2)</f>
        <v>0</v>
      </c>
      <c r="AB57" s="34">
        <f>ROUND(IF(AQ57="1",BH57,0),2)</f>
        <v>0</v>
      </c>
      <c r="AC57" s="34">
        <f>ROUND(IF(AQ57="1",BI57,0),2)</f>
        <v>0</v>
      </c>
      <c r="AD57" s="34">
        <f>ROUND(IF(AQ57="7",BH57,0),2)</f>
        <v>0</v>
      </c>
      <c r="AE57" s="34">
        <f>ROUND(IF(AQ57="7",BI57,0),2)</f>
        <v>0</v>
      </c>
      <c r="AF57" s="34">
        <f>ROUND(IF(AQ57="2",BH57,0),2)</f>
        <v>0</v>
      </c>
      <c r="AG57" s="34">
        <f>ROUND(IF(AQ57="2",BI57,0),2)</f>
        <v>0</v>
      </c>
      <c r="AH57" s="34">
        <f>ROUND(IF(AQ57="0",BJ57,0),2)</f>
        <v>0</v>
      </c>
      <c r="AI57" s="46" t="s">
        <v>84</v>
      </c>
      <c r="AJ57" s="34">
        <f>IF(AN57=0,I57,0)</f>
        <v>0</v>
      </c>
      <c r="AK57" s="34">
        <f>IF(AN57=12,I57,0)</f>
        <v>0</v>
      </c>
      <c r="AL57" s="34">
        <f>IF(AN57=21,I57,0)</f>
        <v>0</v>
      </c>
      <c r="AN57" s="34">
        <v>21</v>
      </c>
      <c r="AO57" s="34">
        <f>H57*0.666194924</f>
        <v>0</v>
      </c>
      <c r="AP57" s="34">
        <f>H57*(1-0.666194924)</f>
        <v>0</v>
      </c>
      <c r="AQ57" s="65" t="s">
        <v>129</v>
      </c>
      <c r="AV57" s="34">
        <f>ROUND(AW57+AX57,2)</f>
        <v>0</v>
      </c>
      <c r="AW57" s="34">
        <f>ROUND(G57*AO57,2)</f>
        <v>0</v>
      </c>
      <c r="AX57" s="34">
        <f>ROUND(G57*AP57,2)</f>
        <v>0</v>
      </c>
      <c r="AY57" s="65" t="s">
        <v>192</v>
      </c>
      <c r="AZ57" s="65" t="s">
        <v>193</v>
      </c>
      <c r="BA57" s="46" t="s">
        <v>136</v>
      </c>
      <c r="BC57" s="34">
        <f>AW57+AX57</f>
        <v>0</v>
      </c>
      <c r="BD57" s="34">
        <f>H57/(100-BE57)*100</f>
        <v>0</v>
      </c>
      <c r="BE57" s="34">
        <v>0</v>
      </c>
      <c r="BF57" s="34">
        <f>57</f>
        <v>57</v>
      </c>
      <c r="BH57" s="34">
        <f>G57*AO57</f>
        <v>0</v>
      </c>
      <c r="BI57" s="34">
        <f>G57*AP57</f>
        <v>0</v>
      </c>
      <c r="BJ57" s="34">
        <f>G57*H57</f>
        <v>0</v>
      </c>
      <c r="BK57" s="34"/>
      <c r="BL57" s="34">
        <v>27</v>
      </c>
      <c r="BW57" s="34">
        <v>21</v>
      </c>
      <c r="BX57" s="3" t="s">
        <v>226</v>
      </c>
    </row>
    <row r="58" spans="1:76" ht="13.5" customHeight="1" x14ac:dyDescent="0.25">
      <c r="A58" s="66"/>
      <c r="C58" s="69" t="s">
        <v>204</v>
      </c>
      <c r="D58" s="169" t="s">
        <v>227</v>
      </c>
      <c r="E58" s="170"/>
      <c r="F58" s="170"/>
      <c r="G58" s="170"/>
      <c r="H58" s="171"/>
      <c r="I58" s="170"/>
      <c r="J58" s="170"/>
      <c r="K58" s="172"/>
    </row>
    <row r="59" spans="1:76" x14ac:dyDescent="0.25">
      <c r="A59" s="66"/>
      <c r="D59" s="67" t="s">
        <v>228</v>
      </c>
      <c r="E59" s="67" t="s">
        <v>4</v>
      </c>
      <c r="G59" s="68">
        <v>4.4000000000000004</v>
      </c>
      <c r="K59" s="59"/>
    </row>
    <row r="60" spans="1:76" x14ac:dyDescent="0.25">
      <c r="A60" s="1" t="s">
        <v>229</v>
      </c>
      <c r="B60" s="2" t="s">
        <v>84</v>
      </c>
      <c r="C60" s="2" t="s">
        <v>230</v>
      </c>
      <c r="D60" s="86" t="s">
        <v>217</v>
      </c>
      <c r="E60" s="81"/>
      <c r="F60" s="2" t="s">
        <v>178</v>
      </c>
      <c r="G60" s="34">
        <v>9.4799999999999995E-2</v>
      </c>
      <c r="H60" s="64">
        <v>0</v>
      </c>
      <c r="I60" s="34">
        <f>ROUND(G60*H60,2)</f>
        <v>0</v>
      </c>
      <c r="J60" s="65" t="s">
        <v>133</v>
      </c>
      <c r="K60" s="59"/>
      <c r="Z60" s="34">
        <f>ROUND(IF(AQ60="5",BJ60,0),2)</f>
        <v>0</v>
      </c>
      <c r="AB60" s="34">
        <f>ROUND(IF(AQ60="1",BH60,0),2)</f>
        <v>0</v>
      </c>
      <c r="AC60" s="34">
        <f>ROUND(IF(AQ60="1",BI60,0),2)</f>
        <v>0</v>
      </c>
      <c r="AD60" s="34">
        <f>ROUND(IF(AQ60="7",BH60,0),2)</f>
        <v>0</v>
      </c>
      <c r="AE60" s="34">
        <f>ROUND(IF(AQ60="7",BI60,0),2)</f>
        <v>0</v>
      </c>
      <c r="AF60" s="34">
        <f>ROUND(IF(AQ60="2",BH60,0),2)</f>
        <v>0</v>
      </c>
      <c r="AG60" s="34">
        <f>ROUND(IF(AQ60="2",BI60,0),2)</f>
        <v>0</v>
      </c>
      <c r="AH60" s="34">
        <f>ROUND(IF(AQ60="0",BJ60,0),2)</f>
        <v>0</v>
      </c>
      <c r="AI60" s="46" t="s">
        <v>84</v>
      </c>
      <c r="AJ60" s="34">
        <f>IF(AN60=0,I60,0)</f>
        <v>0</v>
      </c>
      <c r="AK60" s="34">
        <f>IF(AN60=12,I60,0)</f>
        <v>0</v>
      </c>
      <c r="AL60" s="34">
        <f>IF(AN60=21,I60,0)</f>
        <v>0</v>
      </c>
      <c r="AN60" s="34">
        <v>21</v>
      </c>
      <c r="AO60" s="34">
        <f>H60*0.776350296</f>
        <v>0</v>
      </c>
      <c r="AP60" s="34">
        <f>H60*(1-0.776350296)</f>
        <v>0</v>
      </c>
      <c r="AQ60" s="65" t="s">
        <v>129</v>
      </c>
      <c r="AV60" s="34">
        <f>ROUND(AW60+AX60,2)</f>
        <v>0</v>
      </c>
      <c r="AW60" s="34">
        <f>ROUND(G60*AO60,2)</f>
        <v>0</v>
      </c>
      <c r="AX60" s="34">
        <f>ROUND(G60*AP60,2)</f>
        <v>0</v>
      </c>
      <c r="AY60" s="65" t="s">
        <v>192</v>
      </c>
      <c r="AZ60" s="65" t="s">
        <v>193</v>
      </c>
      <c r="BA60" s="46" t="s">
        <v>136</v>
      </c>
      <c r="BC60" s="34">
        <f>AW60+AX60</f>
        <v>0</v>
      </c>
      <c r="BD60" s="34">
        <f>H60/(100-BE60)*100</f>
        <v>0</v>
      </c>
      <c r="BE60" s="34">
        <v>0</v>
      </c>
      <c r="BF60" s="34">
        <f>60</f>
        <v>60</v>
      </c>
      <c r="BH60" s="34">
        <f>G60*AO60</f>
        <v>0</v>
      </c>
      <c r="BI60" s="34">
        <f>G60*AP60</f>
        <v>0</v>
      </c>
      <c r="BJ60" s="34">
        <f>G60*H60</f>
        <v>0</v>
      </c>
      <c r="BK60" s="34"/>
      <c r="BL60" s="34">
        <v>27</v>
      </c>
      <c r="BW60" s="34">
        <v>21</v>
      </c>
      <c r="BX60" s="3" t="s">
        <v>217</v>
      </c>
    </row>
    <row r="61" spans="1:76" ht="13.5" customHeight="1" x14ac:dyDescent="0.25">
      <c r="A61" s="66"/>
      <c r="C61" s="69" t="s">
        <v>204</v>
      </c>
      <c r="D61" s="169" t="s">
        <v>231</v>
      </c>
      <c r="E61" s="170"/>
      <c r="F61" s="170"/>
      <c r="G61" s="170"/>
      <c r="H61" s="171"/>
      <c r="I61" s="170"/>
      <c r="J61" s="170"/>
      <c r="K61" s="172"/>
    </row>
    <row r="62" spans="1:76" x14ac:dyDescent="0.25">
      <c r="A62" s="66"/>
      <c r="D62" s="67" t="s">
        <v>232</v>
      </c>
      <c r="E62" s="67" t="s">
        <v>233</v>
      </c>
      <c r="G62" s="68">
        <v>9.4799999999999995E-2</v>
      </c>
      <c r="K62" s="59"/>
    </row>
    <row r="63" spans="1:76" x14ac:dyDescent="0.25">
      <c r="A63" s="60" t="s">
        <v>4</v>
      </c>
      <c r="B63" s="61" t="s">
        <v>84</v>
      </c>
      <c r="C63" s="61" t="s">
        <v>234</v>
      </c>
      <c r="D63" s="167" t="s">
        <v>235</v>
      </c>
      <c r="E63" s="168"/>
      <c r="F63" s="62" t="s">
        <v>79</v>
      </c>
      <c r="G63" s="62" t="s">
        <v>79</v>
      </c>
      <c r="H63" s="63" t="s">
        <v>79</v>
      </c>
      <c r="I63" s="39">
        <f>SUM(I64:I153)</f>
        <v>0</v>
      </c>
      <c r="J63" s="46" t="s">
        <v>4</v>
      </c>
      <c r="K63" s="59"/>
      <c r="AI63" s="46" t="s">
        <v>84</v>
      </c>
      <c r="AS63" s="39">
        <f>SUM(AJ64:AJ153)</f>
        <v>0</v>
      </c>
      <c r="AT63" s="39">
        <f>SUM(AK64:AK153)</f>
        <v>0</v>
      </c>
      <c r="AU63" s="39">
        <f>SUM(AL64:AL153)</f>
        <v>0</v>
      </c>
    </row>
    <row r="64" spans="1:76" x14ac:dyDescent="0.25">
      <c r="A64" s="1" t="s">
        <v>236</v>
      </c>
      <c r="B64" s="2" t="s">
        <v>84</v>
      </c>
      <c r="C64" s="2" t="s">
        <v>237</v>
      </c>
      <c r="D64" s="86" t="s">
        <v>238</v>
      </c>
      <c r="E64" s="81"/>
      <c r="F64" s="2" t="s">
        <v>239</v>
      </c>
      <c r="G64" s="34">
        <v>0.45</v>
      </c>
      <c r="H64" s="64">
        <v>0</v>
      </c>
      <c r="I64" s="34">
        <f>ROUND(G64*H64,2)</f>
        <v>0</v>
      </c>
      <c r="J64" s="65" t="s">
        <v>133</v>
      </c>
      <c r="K64" s="59"/>
      <c r="Z64" s="34">
        <f>ROUND(IF(AQ64="5",BJ64,0),2)</f>
        <v>0</v>
      </c>
      <c r="AB64" s="34">
        <f>ROUND(IF(AQ64="1",BH64,0),2)</f>
        <v>0</v>
      </c>
      <c r="AC64" s="34">
        <f>ROUND(IF(AQ64="1",BI64,0),2)</f>
        <v>0</v>
      </c>
      <c r="AD64" s="34">
        <f>ROUND(IF(AQ64="7",BH64,0),2)</f>
        <v>0</v>
      </c>
      <c r="AE64" s="34">
        <f>ROUND(IF(AQ64="7",BI64,0),2)</f>
        <v>0</v>
      </c>
      <c r="AF64" s="34">
        <f>ROUND(IF(AQ64="2",BH64,0),2)</f>
        <v>0</v>
      </c>
      <c r="AG64" s="34">
        <f>ROUND(IF(AQ64="2",BI64,0),2)</f>
        <v>0</v>
      </c>
      <c r="AH64" s="34">
        <f>ROUND(IF(AQ64="0",BJ64,0),2)</f>
        <v>0</v>
      </c>
      <c r="AI64" s="46" t="s">
        <v>84</v>
      </c>
      <c r="AJ64" s="34">
        <f>IF(AN64=0,I64,0)</f>
        <v>0</v>
      </c>
      <c r="AK64" s="34">
        <f>IF(AN64=12,I64,0)</f>
        <v>0</v>
      </c>
      <c r="AL64" s="34">
        <f>IF(AN64=21,I64,0)</f>
        <v>0</v>
      </c>
      <c r="AN64" s="34">
        <v>21</v>
      </c>
      <c r="AO64" s="34">
        <f>H64*0</f>
        <v>0</v>
      </c>
      <c r="AP64" s="34">
        <f>H64*(1-0)</f>
        <v>0</v>
      </c>
      <c r="AQ64" s="65" t="s">
        <v>129</v>
      </c>
      <c r="AV64" s="34">
        <f>ROUND(AW64+AX64,2)</f>
        <v>0</v>
      </c>
      <c r="AW64" s="34">
        <f>ROUND(G64*AO64,2)</f>
        <v>0</v>
      </c>
      <c r="AX64" s="34">
        <f>ROUND(G64*AP64,2)</f>
        <v>0</v>
      </c>
      <c r="AY64" s="65" t="s">
        <v>240</v>
      </c>
      <c r="AZ64" s="65" t="s">
        <v>241</v>
      </c>
      <c r="BA64" s="46" t="s">
        <v>136</v>
      </c>
      <c r="BC64" s="34">
        <f>AW64+AX64</f>
        <v>0</v>
      </c>
      <c r="BD64" s="34">
        <f>H64/(100-BE64)*100</f>
        <v>0</v>
      </c>
      <c r="BE64" s="34">
        <v>0</v>
      </c>
      <c r="BF64" s="34">
        <f>64</f>
        <v>64</v>
      </c>
      <c r="BH64" s="34">
        <f>G64*AO64</f>
        <v>0</v>
      </c>
      <c r="BI64" s="34">
        <f>G64*AP64</f>
        <v>0</v>
      </c>
      <c r="BJ64" s="34">
        <f>G64*H64</f>
        <v>0</v>
      </c>
      <c r="BK64" s="34"/>
      <c r="BL64" s="34">
        <v>31</v>
      </c>
      <c r="BW64" s="34">
        <v>21</v>
      </c>
      <c r="BX64" s="3" t="s">
        <v>238</v>
      </c>
    </row>
    <row r="65" spans="1:76" x14ac:dyDescent="0.25">
      <c r="A65" s="66"/>
      <c r="D65" s="67" t="s">
        <v>242</v>
      </c>
      <c r="E65" s="67" t="s">
        <v>4</v>
      </c>
      <c r="G65" s="68">
        <v>0.35</v>
      </c>
      <c r="K65" s="59"/>
    </row>
    <row r="66" spans="1:76" x14ac:dyDescent="0.25">
      <c r="A66" s="66"/>
      <c r="D66" s="67" t="s">
        <v>243</v>
      </c>
      <c r="E66" s="67" t="s">
        <v>4</v>
      </c>
      <c r="G66" s="68">
        <v>0.1</v>
      </c>
      <c r="K66" s="59"/>
    </row>
    <row r="67" spans="1:76" x14ac:dyDescent="0.25">
      <c r="A67" s="1" t="s">
        <v>137</v>
      </c>
      <c r="B67" s="2" t="s">
        <v>84</v>
      </c>
      <c r="C67" s="2" t="s">
        <v>244</v>
      </c>
      <c r="D67" s="86" t="s">
        <v>245</v>
      </c>
      <c r="E67" s="81"/>
      <c r="F67" s="2" t="s">
        <v>132</v>
      </c>
      <c r="G67" s="34">
        <v>35.54</v>
      </c>
      <c r="H67" s="64">
        <v>0</v>
      </c>
      <c r="I67" s="34">
        <f>ROUND(G67*H67,2)</f>
        <v>0</v>
      </c>
      <c r="J67" s="65" t="s">
        <v>133</v>
      </c>
      <c r="K67" s="59"/>
      <c r="Z67" s="34">
        <f>ROUND(IF(AQ67="5",BJ67,0),2)</f>
        <v>0</v>
      </c>
      <c r="AB67" s="34">
        <f>ROUND(IF(AQ67="1",BH67,0),2)</f>
        <v>0</v>
      </c>
      <c r="AC67" s="34">
        <f>ROUND(IF(AQ67="1",BI67,0),2)</f>
        <v>0</v>
      </c>
      <c r="AD67" s="34">
        <f>ROUND(IF(AQ67="7",BH67,0),2)</f>
        <v>0</v>
      </c>
      <c r="AE67" s="34">
        <f>ROUND(IF(AQ67="7",BI67,0),2)</f>
        <v>0</v>
      </c>
      <c r="AF67" s="34">
        <f>ROUND(IF(AQ67="2",BH67,0),2)</f>
        <v>0</v>
      </c>
      <c r="AG67" s="34">
        <f>ROUND(IF(AQ67="2",BI67,0),2)</f>
        <v>0</v>
      </c>
      <c r="AH67" s="34">
        <f>ROUND(IF(AQ67="0",BJ67,0),2)</f>
        <v>0</v>
      </c>
      <c r="AI67" s="46" t="s">
        <v>84</v>
      </c>
      <c r="AJ67" s="34">
        <f>IF(AN67=0,I67,0)</f>
        <v>0</v>
      </c>
      <c r="AK67" s="34">
        <f>IF(AN67=12,I67,0)</f>
        <v>0</v>
      </c>
      <c r="AL67" s="34">
        <f>IF(AN67=21,I67,0)</f>
        <v>0</v>
      </c>
      <c r="AN67" s="34">
        <v>21</v>
      </c>
      <c r="AO67" s="34">
        <f>H67*0.735191414</f>
        <v>0</v>
      </c>
      <c r="AP67" s="34">
        <f>H67*(1-0.735191414)</f>
        <v>0</v>
      </c>
      <c r="AQ67" s="65" t="s">
        <v>129</v>
      </c>
      <c r="AV67" s="34">
        <f>ROUND(AW67+AX67,2)</f>
        <v>0</v>
      </c>
      <c r="AW67" s="34">
        <f>ROUND(G67*AO67,2)</f>
        <v>0</v>
      </c>
      <c r="AX67" s="34">
        <f>ROUND(G67*AP67,2)</f>
        <v>0</v>
      </c>
      <c r="AY67" s="65" t="s">
        <v>240</v>
      </c>
      <c r="AZ67" s="65" t="s">
        <v>241</v>
      </c>
      <c r="BA67" s="46" t="s">
        <v>136</v>
      </c>
      <c r="BC67" s="34">
        <f>AW67+AX67</f>
        <v>0</v>
      </c>
      <c r="BD67" s="34">
        <f>H67/(100-BE67)*100</f>
        <v>0</v>
      </c>
      <c r="BE67" s="34">
        <v>0</v>
      </c>
      <c r="BF67" s="34">
        <f>67</f>
        <v>67</v>
      </c>
      <c r="BH67" s="34">
        <f>G67*AO67</f>
        <v>0</v>
      </c>
      <c r="BI67" s="34">
        <f>G67*AP67</f>
        <v>0</v>
      </c>
      <c r="BJ67" s="34">
        <f>G67*H67</f>
        <v>0</v>
      </c>
      <c r="BK67" s="34"/>
      <c r="BL67" s="34">
        <v>31</v>
      </c>
      <c r="BW67" s="34">
        <v>21</v>
      </c>
      <c r="BX67" s="3" t="s">
        <v>245</v>
      </c>
    </row>
    <row r="68" spans="1:76" x14ac:dyDescent="0.25">
      <c r="A68" s="66"/>
      <c r="D68" s="67" t="s">
        <v>166</v>
      </c>
      <c r="E68" s="67" t="s">
        <v>246</v>
      </c>
      <c r="G68" s="68">
        <v>5</v>
      </c>
      <c r="K68" s="59"/>
    </row>
    <row r="69" spans="1:76" x14ac:dyDescent="0.25">
      <c r="A69" s="66"/>
      <c r="D69" s="67" t="s">
        <v>247</v>
      </c>
      <c r="E69" s="67" t="s">
        <v>248</v>
      </c>
      <c r="G69" s="68">
        <v>2.1</v>
      </c>
      <c r="K69" s="59"/>
    </row>
    <row r="70" spans="1:76" x14ac:dyDescent="0.25">
      <c r="A70" s="66"/>
      <c r="D70" s="67" t="s">
        <v>249</v>
      </c>
      <c r="E70" s="67" t="s">
        <v>250</v>
      </c>
      <c r="G70" s="68">
        <v>4.2</v>
      </c>
      <c r="K70" s="59"/>
    </row>
    <row r="71" spans="1:76" x14ac:dyDescent="0.25">
      <c r="A71" s="66"/>
      <c r="D71" s="67" t="s">
        <v>251</v>
      </c>
      <c r="E71" s="67" t="s">
        <v>252</v>
      </c>
      <c r="G71" s="68">
        <v>11.88</v>
      </c>
      <c r="K71" s="59"/>
    </row>
    <row r="72" spans="1:76" x14ac:dyDescent="0.25">
      <c r="A72" s="66"/>
      <c r="D72" s="67" t="s">
        <v>253</v>
      </c>
      <c r="E72" s="67" t="s">
        <v>254</v>
      </c>
      <c r="G72" s="68">
        <v>0.36</v>
      </c>
      <c r="K72" s="59"/>
    </row>
    <row r="73" spans="1:76" x14ac:dyDescent="0.25">
      <c r="A73" s="66"/>
      <c r="D73" s="67" t="s">
        <v>138</v>
      </c>
      <c r="E73" s="67" t="s">
        <v>255</v>
      </c>
      <c r="G73" s="68">
        <v>12</v>
      </c>
      <c r="K73" s="59"/>
    </row>
    <row r="74" spans="1:76" x14ac:dyDescent="0.25">
      <c r="A74" s="1" t="s">
        <v>180</v>
      </c>
      <c r="B74" s="2" t="s">
        <v>84</v>
      </c>
      <c r="C74" s="2" t="s">
        <v>256</v>
      </c>
      <c r="D74" s="86" t="s">
        <v>257</v>
      </c>
      <c r="E74" s="81"/>
      <c r="F74" s="2" t="s">
        <v>258</v>
      </c>
      <c r="G74" s="34">
        <v>76</v>
      </c>
      <c r="H74" s="64">
        <v>0</v>
      </c>
      <c r="I74" s="34">
        <f>ROUND(G74*H74,2)</f>
        <v>0</v>
      </c>
      <c r="J74" s="65" t="s">
        <v>133</v>
      </c>
      <c r="K74" s="59"/>
      <c r="Z74" s="34">
        <f>ROUND(IF(AQ74="5",BJ74,0),2)</f>
        <v>0</v>
      </c>
      <c r="AB74" s="34">
        <f>ROUND(IF(AQ74="1",BH74,0),2)</f>
        <v>0</v>
      </c>
      <c r="AC74" s="34">
        <f>ROUND(IF(AQ74="1",BI74,0),2)</f>
        <v>0</v>
      </c>
      <c r="AD74" s="34">
        <f>ROUND(IF(AQ74="7",BH74,0),2)</f>
        <v>0</v>
      </c>
      <c r="AE74" s="34">
        <f>ROUND(IF(AQ74="7",BI74,0),2)</f>
        <v>0</v>
      </c>
      <c r="AF74" s="34">
        <f>ROUND(IF(AQ74="2",BH74,0),2)</f>
        <v>0</v>
      </c>
      <c r="AG74" s="34">
        <f>ROUND(IF(AQ74="2",BI74,0),2)</f>
        <v>0</v>
      </c>
      <c r="AH74" s="34">
        <f>ROUND(IF(AQ74="0",BJ74,0),2)</f>
        <v>0</v>
      </c>
      <c r="AI74" s="46" t="s">
        <v>84</v>
      </c>
      <c r="AJ74" s="34">
        <f>IF(AN74=0,I74,0)</f>
        <v>0</v>
      </c>
      <c r="AK74" s="34">
        <f>IF(AN74=12,I74,0)</f>
        <v>0</v>
      </c>
      <c r="AL74" s="34">
        <f>IF(AN74=21,I74,0)</f>
        <v>0</v>
      </c>
      <c r="AN74" s="34">
        <v>21</v>
      </c>
      <c r="AO74" s="34">
        <f>H74*0.035475896</f>
        <v>0</v>
      </c>
      <c r="AP74" s="34">
        <f>H74*(1-0.035475896)</f>
        <v>0</v>
      </c>
      <c r="AQ74" s="65" t="s">
        <v>129</v>
      </c>
      <c r="AV74" s="34">
        <f>ROUND(AW74+AX74,2)</f>
        <v>0</v>
      </c>
      <c r="AW74" s="34">
        <f>ROUND(G74*AO74,2)</f>
        <v>0</v>
      </c>
      <c r="AX74" s="34">
        <f>ROUND(G74*AP74,2)</f>
        <v>0</v>
      </c>
      <c r="AY74" s="65" t="s">
        <v>240</v>
      </c>
      <c r="AZ74" s="65" t="s">
        <v>241</v>
      </c>
      <c r="BA74" s="46" t="s">
        <v>136</v>
      </c>
      <c r="BC74" s="34">
        <f>AW74+AX74</f>
        <v>0</v>
      </c>
      <c r="BD74" s="34">
        <f>H74/(100-BE74)*100</f>
        <v>0</v>
      </c>
      <c r="BE74" s="34">
        <v>0</v>
      </c>
      <c r="BF74" s="34">
        <f>74</f>
        <v>74</v>
      </c>
      <c r="BH74" s="34">
        <f>G74*AO74</f>
        <v>0</v>
      </c>
      <c r="BI74" s="34">
        <f>G74*AP74</f>
        <v>0</v>
      </c>
      <c r="BJ74" s="34">
        <f>G74*H74</f>
        <v>0</v>
      </c>
      <c r="BK74" s="34"/>
      <c r="BL74" s="34">
        <v>31</v>
      </c>
      <c r="BW74" s="34">
        <v>21</v>
      </c>
      <c r="BX74" s="3" t="s">
        <v>257</v>
      </c>
    </row>
    <row r="75" spans="1:76" ht="27" customHeight="1" x14ac:dyDescent="0.25">
      <c r="A75" s="66"/>
      <c r="C75" s="69" t="s">
        <v>204</v>
      </c>
      <c r="D75" s="169" t="s">
        <v>259</v>
      </c>
      <c r="E75" s="170"/>
      <c r="F75" s="170"/>
      <c r="G75" s="170"/>
      <c r="H75" s="171"/>
      <c r="I75" s="170"/>
      <c r="J75" s="170"/>
      <c r="K75" s="172"/>
    </row>
    <row r="76" spans="1:76" x14ac:dyDescent="0.25">
      <c r="A76" s="66"/>
      <c r="D76" s="67" t="s">
        <v>161</v>
      </c>
      <c r="E76" s="67" t="s">
        <v>260</v>
      </c>
      <c r="G76" s="68">
        <v>4</v>
      </c>
      <c r="K76" s="59"/>
    </row>
    <row r="77" spans="1:76" x14ac:dyDescent="0.25">
      <c r="A77" s="66"/>
      <c r="D77" s="67" t="s">
        <v>261</v>
      </c>
      <c r="E77" s="67" t="s">
        <v>262</v>
      </c>
      <c r="G77" s="68">
        <v>56</v>
      </c>
      <c r="K77" s="59"/>
    </row>
    <row r="78" spans="1:76" x14ac:dyDescent="0.25">
      <c r="A78" s="66"/>
      <c r="D78" s="67" t="s">
        <v>263</v>
      </c>
      <c r="E78" s="67" t="s">
        <v>264</v>
      </c>
      <c r="G78" s="68">
        <v>4</v>
      </c>
      <c r="K78" s="59"/>
    </row>
    <row r="79" spans="1:76" x14ac:dyDescent="0.25">
      <c r="A79" s="66"/>
      <c r="D79" s="67" t="s">
        <v>265</v>
      </c>
      <c r="E79" s="67" t="s">
        <v>266</v>
      </c>
      <c r="G79" s="68">
        <v>12</v>
      </c>
      <c r="K79" s="59"/>
    </row>
    <row r="80" spans="1:76" x14ac:dyDescent="0.25">
      <c r="A80" s="1" t="s">
        <v>267</v>
      </c>
      <c r="B80" s="2" t="s">
        <v>84</v>
      </c>
      <c r="C80" s="2" t="s">
        <v>268</v>
      </c>
      <c r="D80" s="86" t="s">
        <v>269</v>
      </c>
      <c r="E80" s="81"/>
      <c r="F80" s="2" t="s">
        <v>258</v>
      </c>
      <c r="G80" s="34">
        <v>4</v>
      </c>
      <c r="H80" s="64">
        <v>0</v>
      </c>
      <c r="I80" s="34">
        <f>ROUND(G80*H80,2)</f>
        <v>0</v>
      </c>
      <c r="J80" s="65" t="s">
        <v>133</v>
      </c>
      <c r="K80" s="59"/>
      <c r="Z80" s="34">
        <f>ROUND(IF(AQ80="5",BJ80,0),2)</f>
        <v>0</v>
      </c>
      <c r="AB80" s="34">
        <f>ROUND(IF(AQ80="1",BH80,0),2)</f>
        <v>0</v>
      </c>
      <c r="AC80" s="34">
        <f>ROUND(IF(AQ80="1",BI80,0),2)</f>
        <v>0</v>
      </c>
      <c r="AD80" s="34">
        <f>ROUND(IF(AQ80="7",BH80,0),2)</f>
        <v>0</v>
      </c>
      <c r="AE80" s="34">
        <f>ROUND(IF(AQ80="7",BI80,0),2)</f>
        <v>0</v>
      </c>
      <c r="AF80" s="34">
        <f>ROUND(IF(AQ80="2",BH80,0),2)</f>
        <v>0</v>
      </c>
      <c r="AG80" s="34">
        <f>ROUND(IF(AQ80="2",BI80,0),2)</f>
        <v>0</v>
      </c>
      <c r="AH80" s="34">
        <f>ROUND(IF(AQ80="0",BJ80,0),2)</f>
        <v>0</v>
      </c>
      <c r="AI80" s="46" t="s">
        <v>84</v>
      </c>
      <c r="AJ80" s="34">
        <f>IF(AN80=0,I80,0)</f>
        <v>0</v>
      </c>
      <c r="AK80" s="34">
        <f>IF(AN80=12,I80,0)</f>
        <v>0</v>
      </c>
      <c r="AL80" s="34">
        <f>IF(AN80=21,I80,0)</f>
        <v>0</v>
      </c>
      <c r="AN80" s="34">
        <v>21</v>
      </c>
      <c r="AO80" s="34">
        <f>H80*0.709746269</f>
        <v>0</v>
      </c>
      <c r="AP80" s="34">
        <f>H80*(1-0.709746269)</f>
        <v>0</v>
      </c>
      <c r="AQ80" s="65" t="s">
        <v>129</v>
      </c>
      <c r="AV80" s="34">
        <f>ROUND(AW80+AX80,2)</f>
        <v>0</v>
      </c>
      <c r="AW80" s="34">
        <f>ROUND(G80*AO80,2)</f>
        <v>0</v>
      </c>
      <c r="AX80" s="34">
        <f>ROUND(G80*AP80,2)</f>
        <v>0</v>
      </c>
      <c r="AY80" s="65" t="s">
        <v>240</v>
      </c>
      <c r="AZ80" s="65" t="s">
        <v>241</v>
      </c>
      <c r="BA80" s="46" t="s">
        <v>136</v>
      </c>
      <c r="BC80" s="34">
        <f>AW80+AX80</f>
        <v>0</v>
      </c>
      <c r="BD80" s="34">
        <f>H80/(100-BE80)*100</f>
        <v>0</v>
      </c>
      <c r="BE80" s="34">
        <v>0</v>
      </c>
      <c r="BF80" s="34">
        <f>80</f>
        <v>80</v>
      </c>
      <c r="BH80" s="34">
        <f>G80*AO80</f>
        <v>0</v>
      </c>
      <c r="BI80" s="34">
        <f>G80*AP80</f>
        <v>0</v>
      </c>
      <c r="BJ80" s="34">
        <f>G80*H80</f>
        <v>0</v>
      </c>
      <c r="BK80" s="34"/>
      <c r="BL80" s="34">
        <v>31</v>
      </c>
      <c r="BW80" s="34">
        <v>21</v>
      </c>
      <c r="BX80" s="3" t="s">
        <v>269</v>
      </c>
    </row>
    <row r="81" spans="1:76" x14ac:dyDescent="0.25">
      <c r="A81" s="66"/>
      <c r="D81" s="67" t="s">
        <v>263</v>
      </c>
      <c r="E81" s="67" t="s">
        <v>260</v>
      </c>
      <c r="G81" s="68">
        <v>4</v>
      </c>
      <c r="K81" s="59"/>
    </row>
    <row r="82" spans="1:76" x14ac:dyDescent="0.25">
      <c r="A82" s="1" t="s">
        <v>270</v>
      </c>
      <c r="B82" s="2" t="s">
        <v>84</v>
      </c>
      <c r="C82" s="2" t="s">
        <v>271</v>
      </c>
      <c r="D82" s="86" t="s">
        <v>272</v>
      </c>
      <c r="E82" s="81"/>
      <c r="F82" s="2" t="s">
        <v>258</v>
      </c>
      <c r="G82" s="34">
        <v>56</v>
      </c>
      <c r="H82" s="64">
        <v>0</v>
      </c>
      <c r="I82" s="34">
        <f>ROUND(G82*H82,2)</f>
        <v>0</v>
      </c>
      <c r="J82" s="65" t="s">
        <v>133</v>
      </c>
      <c r="K82" s="59"/>
      <c r="Z82" s="34">
        <f>ROUND(IF(AQ82="5",BJ82,0),2)</f>
        <v>0</v>
      </c>
      <c r="AB82" s="34">
        <f>ROUND(IF(AQ82="1",BH82,0),2)</f>
        <v>0</v>
      </c>
      <c r="AC82" s="34">
        <f>ROUND(IF(AQ82="1",BI82,0),2)</f>
        <v>0</v>
      </c>
      <c r="AD82" s="34">
        <f>ROUND(IF(AQ82="7",BH82,0),2)</f>
        <v>0</v>
      </c>
      <c r="AE82" s="34">
        <f>ROUND(IF(AQ82="7",BI82,0),2)</f>
        <v>0</v>
      </c>
      <c r="AF82" s="34">
        <f>ROUND(IF(AQ82="2",BH82,0),2)</f>
        <v>0</v>
      </c>
      <c r="AG82" s="34">
        <f>ROUND(IF(AQ82="2",BI82,0),2)</f>
        <v>0</v>
      </c>
      <c r="AH82" s="34">
        <f>ROUND(IF(AQ82="0",BJ82,0),2)</f>
        <v>0</v>
      </c>
      <c r="AI82" s="46" t="s">
        <v>84</v>
      </c>
      <c r="AJ82" s="34">
        <f>IF(AN82=0,I82,0)</f>
        <v>0</v>
      </c>
      <c r="AK82" s="34">
        <f>IF(AN82=12,I82,0)</f>
        <v>0</v>
      </c>
      <c r="AL82" s="34">
        <f>IF(AN82=21,I82,0)</f>
        <v>0</v>
      </c>
      <c r="AN82" s="34">
        <v>21</v>
      </c>
      <c r="AO82" s="34">
        <f>H82*0.731844532</f>
        <v>0</v>
      </c>
      <c r="AP82" s="34">
        <f>H82*(1-0.731844532)</f>
        <v>0</v>
      </c>
      <c r="AQ82" s="65" t="s">
        <v>129</v>
      </c>
      <c r="AV82" s="34">
        <f>ROUND(AW82+AX82,2)</f>
        <v>0</v>
      </c>
      <c r="AW82" s="34">
        <f>ROUND(G82*AO82,2)</f>
        <v>0</v>
      </c>
      <c r="AX82" s="34">
        <f>ROUND(G82*AP82,2)</f>
        <v>0</v>
      </c>
      <c r="AY82" s="65" t="s">
        <v>240</v>
      </c>
      <c r="AZ82" s="65" t="s">
        <v>241</v>
      </c>
      <c r="BA82" s="46" t="s">
        <v>136</v>
      </c>
      <c r="BC82" s="34">
        <f>AW82+AX82</f>
        <v>0</v>
      </c>
      <c r="BD82" s="34">
        <f>H82/(100-BE82)*100</f>
        <v>0</v>
      </c>
      <c r="BE82" s="34">
        <v>0</v>
      </c>
      <c r="BF82" s="34">
        <f>82</f>
        <v>82</v>
      </c>
      <c r="BH82" s="34">
        <f>G82*AO82</f>
        <v>0</v>
      </c>
      <c r="BI82" s="34">
        <f>G82*AP82</f>
        <v>0</v>
      </c>
      <c r="BJ82" s="34">
        <f>G82*H82</f>
        <v>0</v>
      </c>
      <c r="BK82" s="34"/>
      <c r="BL82" s="34">
        <v>31</v>
      </c>
      <c r="BW82" s="34">
        <v>21</v>
      </c>
      <c r="BX82" s="3" t="s">
        <v>272</v>
      </c>
    </row>
    <row r="83" spans="1:76" x14ac:dyDescent="0.25">
      <c r="A83" s="66"/>
      <c r="D83" s="67" t="s">
        <v>261</v>
      </c>
      <c r="E83" s="67" t="s">
        <v>262</v>
      </c>
      <c r="G83" s="68">
        <v>56</v>
      </c>
      <c r="K83" s="59"/>
    </row>
    <row r="84" spans="1:76" x14ac:dyDescent="0.25">
      <c r="A84" s="1" t="s">
        <v>273</v>
      </c>
      <c r="B84" s="2" t="s">
        <v>84</v>
      </c>
      <c r="C84" s="2" t="s">
        <v>274</v>
      </c>
      <c r="D84" s="86" t="s">
        <v>275</v>
      </c>
      <c r="E84" s="81"/>
      <c r="F84" s="2" t="s">
        <v>258</v>
      </c>
      <c r="G84" s="34">
        <v>4</v>
      </c>
      <c r="H84" s="64">
        <v>0</v>
      </c>
      <c r="I84" s="34">
        <f>ROUND(G84*H84,2)</f>
        <v>0</v>
      </c>
      <c r="J84" s="65" t="s">
        <v>133</v>
      </c>
      <c r="K84" s="59"/>
      <c r="Z84" s="34">
        <f>ROUND(IF(AQ84="5",BJ84,0),2)</f>
        <v>0</v>
      </c>
      <c r="AB84" s="34">
        <f>ROUND(IF(AQ84="1",BH84,0),2)</f>
        <v>0</v>
      </c>
      <c r="AC84" s="34">
        <f>ROUND(IF(AQ84="1",BI84,0),2)</f>
        <v>0</v>
      </c>
      <c r="AD84" s="34">
        <f>ROUND(IF(AQ84="7",BH84,0),2)</f>
        <v>0</v>
      </c>
      <c r="AE84" s="34">
        <f>ROUND(IF(AQ84="7",BI84,0),2)</f>
        <v>0</v>
      </c>
      <c r="AF84" s="34">
        <f>ROUND(IF(AQ84="2",BH84,0),2)</f>
        <v>0</v>
      </c>
      <c r="AG84" s="34">
        <f>ROUND(IF(AQ84="2",BI84,0),2)</f>
        <v>0</v>
      </c>
      <c r="AH84" s="34">
        <f>ROUND(IF(AQ84="0",BJ84,0),2)</f>
        <v>0</v>
      </c>
      <c r="AI84" s="46" t="s">
        <v>84</v>
      </c>
      <c r="AJ84" s="34">
        <f>IF(AN84=0,I84,0)</f>
        <v>0</v>
      </c>
      <c r="AK84" s="34">
        <f>IF(AN84=12,I84,0)</f>
        <v>0</v>
      </c>
      <c r="AL84" s="34">
        <f>IF(AN84=21,I84,0)</f>
        <v>0</v>
      </c>
      <c r="AN84" s="34">
        <v>21</v>
      </c>
      <c r="AO84" s="34">
        <f>H84*0.752352246</f>
        <v>0</v>
      </c>
      <c r="AP84" s="34">
        <f>H84*(1-0.752352246)</f>
        <v>0</v>
      </c>
      <c r="AQ84" s="65" t="s">
        <v>129</v>
      </c>
      <c r="AV84" s="34">
        <f>ROUND(AW84+AX84,2)</f>
        <v>0</v>
      </c>
      <c r="AW84" s="34">
        <f>ROUND(G84*AO84,2)</f>
        <v>0</v>
      </c>
      <c r="AX84" s="34">
        <f>ROUND(G84*AP84,2)</f>
        <v>0</v>
      </c>
      <c r="AY84" s="65" t="s">
        <v>240</v>
      </c>
      <c r="AZ84" s="65" t="s">
        <v>241</v>
      </c>
      <c r="BA84" s="46" t="s">
        <v>136</v>
      </c>
      <c r="BC84" s="34">
        <f>AW84+AX84</f>
        <v>0</v>
      </c>
      <c r="BD84" s="34">
        <f>H84/(100-BE84)*100</f>
        <v>0</v>
      </c>
      <c r="BE84" s="34">
        <v>0</v>
      </c>
      <c r="BF84" s="34">
        <f>84</f>
        <v>84</v>
      </c>
      <c r="BH84" s="34">
        <f>G84*AO84</f>
        <v>0</v>
      </c>
      <c r="BI84" s="34">
        <f>G84*AP84</f>
        <v>0</v>
      </c>
      <c r="BJ84" s="34">
        <f>G84*H84</f>
        <v>0</v>
      </c>
      <c r="BK84" s="34"/>
      <c r="BL84" s="34">
        <v>31</v>
      </c>
      <c r="BW84" s="34">
        <v>21</v>
      </c>
      <c r="BX84" s="3" t="s">
        <v>275</v>
      </c>
    </row>
    <row r="85" spans="1:76" x14ac:dyDescent="0.25">
      <c r="A85" s="66"/>
      <c r="D85" s="67" t="s">
        <v>263</v>
      </c>
      <c r="E85" s="67" t="s">
        <v>264</v>
      </c>
      <c r="G85" s="68">
        <v>4</v>
      </c>
      <c r="K85" s="59"/>
    </row>
    <row r="86" spans="1:76" x14ac:dyDescent="0.25">
      <c r="A86" s="1" t="s">
        <v>276</v>
      </c>
      <c r="B86" s="2" t="s">
        <v>84</v>
      </c>
      <c r="C86" s="2" t="s">
        <v>277</v>
      </c>
      <c r="D86" s="86" t="s">
        <v>278</v>
      </c>
      <c r="E86" s="81"/>
      <c r="F86" s="2" t="s">
        <v>258</v>
      </c>
      <c r="G86" s="34">
        <v>12</v>
      </c>
      <c r="H86" s="64">
        <v>0</v>
      </c>
      <c r="I86" s="34">
        <f>ROUND(G86*H86,2)</f>
        <v>0</v>
      </c>
      <c r="J86" s="65" t="s">
        <v>133</v>
      </c>
      <c r="K86" s="59"/>
      <c r="Z86" s="34">
        <f>ROUND(IF(AQ86="5",BJ86,0),2)</f>
        <v>0</v>
      </c>
      <c r="AB86" s="34">
        <f>ROUND(IF(AQ86="1",BH86,0),2)</f>
        <v>0</v>
      </c>
      <c r="AC86" s="34">
        <f>ROUND(IF(AQ86="1",BI86,0),2)</f>
        <v>0</v>
      </c>
      <c r="AD86" s="34">
        <f>ROUND(IF(AQ86="7",BH86,0),2)</f>
        <v>0</v>
      </c>
      <c r="AE86" s="34">
        <f>ROUND(IF(AQ86="7",BI86,0),2)</f>
        <v>0</v>
      </c>
      <c r="AF86" s="34">
        <f>ROUND(IF(AQ86="2",BH86,0),2)</f>
        <v>0</v>
      </c>
      <c r="AG86" s="34">
        <f>ROUND(IF(AQ86="2",BI86,0),2)</f>
        <v>0</v>
      </c>
      <c r="AH86" s="34">
        <f>ROUND(IF(AQ86="0",BJ86,0),2)</f>
        <v>0</v>
      </c>
      <c r="AI86" s="46" t="s">
        <v>84</v>
      </c>
      <c r="AJ86" s="34">
        <f>IF(AN86=0,I86,0)</f>
        <v>0</v>
      </c>
      <c r="AK86" s="34">
        <f>IF(AN86=12,I86,0)</f>
        <v>0</v>
      </c>
      <c r="AL86" s="34">
        <f>IF(AN86=21,I86,0)</f>
        <v>0</v>
      </c>
      <c r="AN86" s="34">
        <v>21</v>
      </c>
      <c r="AO86" s="34">
        <f>H86*0.67272403</f>
        <v>0</v>
      </c>
      <c r="AP86" s="34">
        <f>H86*(1-0.67272403)</f>
        <v>0</v>
      </c>
      <c r="AQ86" s="65" t="s">
        <v>129</v>
      </c>
      <c r="AV86" s="34">
        <f>ROUND(AW86+AX86,2)</f>
        <v>0</v>
      </c>
      <c r="AW86" s="34">
        <f>ROUND(G86*AO86,2)</f>
        <v>0</v>
      </c>
      <c r="AX86" s="34">
        <f>ROUND(G86*AP86,2)</f>
        <v>0</v>
      </c>
      <c r="AY86" s="65" t="s">
        <v>240</v>
      </c>
      <c r="AZ86" s="65" t="s">
        <v>241</v>
      </c>
      <c r="BA86" s="46" t="s">
        <v>136</v>
      </c>
      <c r="BC86" s="34">
        <f>AW86+AX86</f>
        <v>0</v>
      </c>
      <c r="BD86" s="34">
        <f>H86/(100-BE86)*100</f>
        <v>0</v>
      </c>
      <c r="BE86" s="34">
        <v>0</v>
      </c>
      <c r="BF86" s="34">
        <f>86</f>
        <v>86</v>
      </c>
      <c r="BH86" s="34">
        <f>G86*AO86</f>
        <v>0</v>
      </c>
      <c r="BI86" s="34">
        <f>G86*AP86</f>
        <v>0</v>
      </c>
      <c r="BJ86" s="34">
        <f>G86*H86</f>
        <v>0</v>
      </c>
      <c r="BK86" s="34"/>
      <c r="BL86" s="34">
        <v>31</v>
      </c>
      <c r="BW86" s="34">
        <v>21</v>
      </c>
      <c r="BX86" s="3" t="s">
        <v>278</v>
      </c>
    </row>
    <row r="87" spans="1:76" x14ac:dyDescent="0.25">
      <c r="A87" s="66"/>
      <c r="D87" s="67" t="s">
        <v>265</v>
      </c>
      <c r="E87" s="67" t="s">
        <v>266</v>
      </c>
      <c r="G87" s="68">
        <v>12</v>
      </c>
      <c r="K87" s="59"/>
    </row>
    <row r="88" spans="1:76" x14ac:dyDescent="0.25">
      <c r="A88" s="1" t="s">
        <v>279</v>
      </c>
      <c r="B88" s="2" t="s">
        <v>84</v>
      </c>
      <c r="C88" s="2" t="s">
        <v>280</v>
      </c>
      <c r="D88" s="86" t="s">
        <v>281</v>
      </c>
      <c r="E88" s="81"/>
      <c r="F88" s="2" t="s">
        <v>132</v>
      </c>
      <c r="G88" s="34">
        <v>64.44</v>
      </c>
      <c r="H88" s="64">
        <v>0</v>
      </c>
      <c r="I88" s="34">
        <f>ROUND(G88*H88,2)</f>
        <v>0</v>
      </c>
      <c r="J88" s="65" t="s">
        <v>133</v>
      </c>
      <c r="K88" s="59"/>
      <c r="Z88" s="34">
        <f>ROUND(IF(AQ88="5",BJ88,0),2)</f>
        <v>0</v>
      </c>
      <c r="AB88" s="34">
        <f>ROUND(IF(AQ88="1",BH88,0),2)</f>
        <v>0</v>
      </c>
      <c r="AC88" s="34">
        <f>ROUND(IF(AQ88="1",BI88,0),2)</f>
        <v>0</v>
      </c>
      <c r="AD88" s="34">
        <f>ROUND(IF(AQ88="7",BH88,0),2)</f>
        <v>0</v>
      </c>
      <c r="AE88" s="34">
        <f>ROUND(IF(AQ88="7",BI88,0),2)</f>
        <v>0</v>
      </c>
      <c r="AF88" s="34">
        <f>ROUND(IF(AQ88="2",BH88,0),2)</f>
        <v>0</v>
      </c>
      <c r="AG88" s="34">
        <f>ROUND(IF(AQ88="2",BI88,0),2)</f>
        <v>0</v>
      </c>
      <c r="AH88" s="34">
        <f>ROUND(IF(AQ88="0",BJ88,0),2)</f>
        <v>0</v>
      </c>
      <c r="AI88" s="46" t="s">
        <v>84</v>
      </c>
      <c r="AJ88" s="34">
        <f>IF(AN88=0,I88,0)</f>
        <v>0</v>
      </c>
      <c r="AK88" s="34">
        <f>IF(AN88=12,I88,0)</f>
        <v>0</v>
      </c>
      <c r="AL88" s="34">
        <f>IF(AN88=21,I88,0)</f>
        <v>0</v>
      </c>
      <c r="AN88" s="34">
        <v>21</v>
      </c>
      <c r="AO88" s="34">
        <f>H88*0.646362462</f>
        <v>0</v>
      </c>
      <c r="AP88" s="34">
        <f>H88*(1-0.646362462)</f>
        <v>0</v>
      </c>
      <c r="AQ88" s="65" t="s">
        <v>129</v>
      </c>
      <c r="AV88" s="34">
        <f>ROUND(AW88+AX88,2)</f>
        <v>0</v>
      </c>
      <c r="AW88" s="34">
        <f>ROUND(G88*AO88,2)</f>
        <v>0</v>
      </c>
      <c r="AX88" s="34">
        <f>ROUND(G88*AP88,2)</f>
        <v>0</v>
      </c>
      <c r="AY88" s="65" t="s">
        <v>240</v>
      </c>
      <c r="AZ88" s="65" t="s">
        <v>241</v>
      </c>
      <c r="BA88" s="46" t="s">
        <v>136</v>
      </c>
      <c r="BC88" s="34">
        <f>AW88+AX88</f>
        <v>0</v>
      </c>
      <c r="BD88" s="34">
        <f>H88/(100-BE88)*100</f>
        <v>0</v>
      </c>
      <c r="BE88" s="34">
        <v>0</v>
      </c>
      <c r="BF88" s="34">
        <f>88</f>
        <v>88</v>
      </c>
      <c r="BH88" s="34">
        <f>G88*AO88</f>
        <v>0</v>
      </c>
      <c r="BI88" s="34">
        <f>G88*AP88</f>
        <v>0</v>
      </c>
      <c r="BJ88" s="34">
        <f>G88*H88</f>
        <v>0</v>
      </c>
      <c r="BK88" s="34"/>
      <c r="BL88" s="34">
        <v>31</v>
      </c>
      <c r="BW88" s="34">
        <v>21</v>
      </c>
      <c r="BX88" s="3" t="s">
        <v>281</v>
      </c>
    </row>
    <row r="89" spans="1:76" ht="13.5" customHeight="1" x14ac:dyDescent="0.25">
      <c r="A89" s="66"/>
      <c r="C89" s="69" t="s">
        <v>204</v>
      </c>
      <c r="D89" s="169" t="s">
        <v>282</v>
      </c>
      <c r="E89" s="170"/>
      <c r="F89" s="170"/>
      <c r="G89" s="170"/>
      <c r="H89" s="171"/>
      <c r="I89" s="170"/>
      <c r="J89" s="170"/>
      <c r="K89" s="172"/>
    </row>
    <row r="90" spans="1:76" x14ac:dyDescent="0.25">
      <c r="A90" s="66"/>
      <c r="D90" s="67" t="s">
        <v>283</v>
      </c>
      <c r="E90" s="67" t="s">
        <v>284</v>
      </c>
      <c r="G90" s="68">
        <v>56.12</v>
      </c>
      <c r="K90" s="59"/>
    </row>
    <row r="91" spans="1:76" x14ac:dyDescent="0.25">
      <c r="A91" s="66"/>
      <c r="D91" s="67" t="s">
        <v>285</v>
      </c>
      <c r="E91" s="67" t="s">
        <v>286</v>
      </c>
      <c r="G91" s="68">
        <v>14.08</v>
      </c>
      <c r="K91" s="59"/>
    </row>
    <row r="92" spans="1:76" x14ac:dyDescent="0.25">
      <c r="A92" s="66"/>
      <c r="D92" s="67" t="s">
        <v>287</v>
      </c>
      <c r="E92" s="67" t="s">
        <v>288</v>
      </c>
      <c r="G92" s="68">
        <v>-2.88</v>
      </c>
      <c r="K92" s="59"/>
    </row>
    <row r="93" spans="1:76" x14ac:dyDescent="0.25">
      <c r="A93" s="66"/>
      <c r="D93" s="67" t="s">
        <v>287</v>
      </c>
      <c r="E93" s="67" t="s">
        <v>288</v>
      </c>
      <c r="G93" s="68">
        <v>-2.88</v>
      </c>
      <c r="K93" s="59"/>
    </row>
    <row r="94" spans="1:76" x14ac:dyDescent="0.25">
      <c r="A94" s="1" t="s">
        <v>289</v>
      </c>
      <c r="B94" s="2" t="s">
        <v>84</v>
      </c>
      <c r="C94" s="2" t="s">
        <v>290</v>
      </c>
      <c r="D94" s="86" t="s">
        <v>291</v>
      </c>
      <c r="E94" s="81"/>
      <c r="F94" s="2" t="s">
        <v>178</v>
      </c>
      <c r="G94" s="34">
        <v>0.42809999999999998</v>
      </c>
      <c r="H94" s="64">
        <v>0</v>
      </c>
      <c r="I94" s="34">
        <f>ROUND(G94*H94,2)</f>
        <v>0</v>
      </c>
      <c r="J94" s="65" t="s">
        <v>133</v>
      </c>
      <c r="K94" s="59"/>
      <c r="Z94" s="34">
        <f>ROUND(IF(AQ94="5",BJ94,0),2)</f>
        <v>0</v>
      </c>
      <c r="AB94" s="34">
        <f>ROUND(IF(AQ94="1",BH94,0),2)</f>
        <v>0</v>
      </c>
      <c r="AC94" s="34">
        <f>ROUND(IF(AQ94="1",BI94,0),2)</f>
        <v>0</v>
      </c>
      <c r="AD94" s="34">
        <f>ROUND(IF(AQ94="7",BH94,0),2)</f>
        <v>0</v>
      </c>
      <c r="AE94" s="34">
        <f>ROUND(IF(AQ94="7",BI94,0),2)</f>
        <v>0</v>
      </c>
      <c r="AF94" s="34">
        <f>ROUND(IF(AQ94="2",BH94,0),2)</f>
        <v>0</v>
      </c>
      <c r="AG94" s="34">
        <f>ROUND(IF(AQ94="2",BI94,0),2)</f>
        <v>0</v>
      </c>
      <c r="AH94" s="34">
        <f>ROUND(IF(AQ94="0",BJ94,0),2)</f>
        <v>0</v>
      </c>
      <c r="AI94" s="46" t="s">
        <v>84</v>
      </c>
      <c r="AJ94" s="34">
        <f>IF(AN94=0,I94,0)</f>
        <v>0</v>
      </c>
      <c r="AK94" s="34">
        <f>IF(AN94=12,I94,0)</f>
        <v>0</v>
      </c>
      <c r="AL94" s="34">
        <f>IF(AN94=21,I94,0)</f>
        <v>0</v>
      </c>
      <c r="AN94" s="34">
        <v>21</v>
      </c>
      <c r="AO94" s="34">
        <f>H94*0.713184889</f>
        <v>0</v>
      </c>
      <c r="AP94" s="34">
        <f>H94*(1-0.713184889)</f>
        <v>0</v>
      </c>
      <c r="AQ94" s="65" t="s">
        <v>129</v>
      </c>
      <c r="AV94" s="34">
        <f>ROUND(AW94+AX94,2)</f>
        <v>0</v>
      </c>
      <c r="AW94" s="34">
        <f>ROUND(G94*AO94,2)</f>
        <v>0</v>
      </c>
      <c r="AX94" s="34">
        <f>ROUND(G94*AP94,2)</f>
        <v>0</v>
      </c>
      <c r="AY94" s="65" t="s">
        <v>240</v>
      </c>
      <c r="AZ94" s="65" t="s">
        <v>241</v>
      </c>
      <c r="BA94" s="46" t="s">
        <v>136</v>
      </c>
      <c r="BC94" s="34">
        <f>AW94+AX94</f>
        <v>0</v>
      </c>
      <c r="BD94" s="34">
        <f>H94/(100-BE94)*100</f>
        <v>0</v>
      </c>
      <c r="BE94" s="34">
        <v>0</v>
      </c>
      <c r="BF94" s="34">
        <f>94</f>
        <v>94</v>
      </c>
      <c r="BH94" s="34">
        <f>G94*AO94</f>
        <v>0</v>
      </c>
      <c r="BI94" s="34">
        <f>G94*AP94</f>
        <v>0</v>
      </c>
      <c r="BJ94" s="34">
        <f>G94*H94</f>
        <v>0</v>
      </c>
      <c r="BK94" s="34"/>
      <c r="BL94" s="34">
        <v>31</v>
      </c>
      <c r="BW94" s="34">
        <v>21</v>
      </c>
      <c r="BX94" s="3" t="s">
        <v>291</v>
      </c>
    </row>
    <row r="95" spans="1:76" x14ac:dyDescent="0.25">
      <c r="A95" s="66"/>
      <c r="D95" s="67" t="s">
        <v>292</v>
      </c>
      <c r="E95" s="67" t="s">
        <v>293</v>
      </c>
      <c r="G95" s="68">
        <v>0.17979999999999999</v>
      </c>
      <c r="K95" s="59"/>
    </row>
    <row r="96" spans="1:76" x14ac:dyDescent="0.25">
      <c r="A96" s="66"/>
      <c r="D96" s="67" t="s">
        <v>294</v>
      </c>
      <c r="E96" s="67" t="s">
        <v>295</v>
      </c>
      <c r="G96" s="68">
        <v>4.0300000000000002E-2</v>
      </c>
      <c r="K96" s="59"/>
    </row>
    <row r="97" spans="1:76" x14ac:dyDescent="0.25">
      <c r="A97" s="66"/>
      <c r="D97" s="67" t="s">
        <v>296</v>
      </c>
      <c r="E97" s="67" t="s">
        <v>297</v>
      </c>
      <c r="G97" s="68">
        <v>0.20799999999999999</v>
      </c>
      <c r="K97" s="59"/>
    </row>
    <row r="98" spans="1:76" x14ac:dyDescent="0.25">
      <c r="A98" s="1" t="s">
        <v>298</v>
      </c>
      <c r="B98" s="2" t="s">
        <v>84</v>
      </c>
      <c r="C98" s="2" t="s">
        <v>299</v>
      </c>
      <c r="D98" s="86" t="s">
        <v>300</v>
      </c>
      <c r="E98" s="81"/>
      <c r="F98" s="2" t="s">
        <v>132</v>
      </c>
      <c r="G98" s="34">
        <v>12.4</v>
      </c>
      <c r="H98" s="64">
        <v>0</v>
      </c>
      <c r="I98" s="34">
        <f>ROUND(G98*H98,2)</f>
        <v>0</v>
      </c>
      <c r="J98" s="65" t="s">
        <v>133</v>
      </c>
      <c r="K98" s="59"/>
      <c r="Z98" s="34">
        <f>ROUND(IF(AQ98="5",BJ98,0),2)</f>
        <v>0</v>
      </c>
      <c r="AB98" s="34">
        <f>ROUND(IF(AQ98="1",BH98,0),2)</f>
        <v>0</v>
      </c>
      <c r="AC98" s="34">
        <f>ROUND(IF(AQ98="1",BI98,0),2)</f>
        <v>0</v>
      </c>
      <c r="AD98" s="34">
        <f>ROUND(IF(AQ98="7",BH98,0),2)</f>
        <v>0</v>
      </c>
      <c r="AE98" s="34">
        <f>ROUND(IF(AQ98="7",BI98,0),2)</f>
        <v>0</v>
      </c>
      <c r="AF98" s="34">
        <f>ROUND(IF(AQ98="2",BH98,0),2)</f>
        <v>0</v>
      </c>
      <c r="AG98" s="34">
        <f>ROUND(IF(AQ98="2",BI98,0),2)</f>
        <v>0</v>
      </c>
      <c r="AH98" s="34">
        <f>ROUND(IF(AQ98="0",BJ98,0),2)</f>
        <v>0</v>
      </c>
      <c r="AI98" s="46" t="s">
        <v>84</v>
      </c>
      <c r="AJ98" s="34">
        <f>IF(AN98=0,I98,0)</f>
        <v>0</v>
      </c>
      <c r="AK98" s="34">
        <f>IF(AN98=12,I98,0)</f>
        <v>0</v>
      </c>
      <c r="AL98" s="34">
        <f>IF(AN98=21,I98,0)</f>
        <v>0</v>
      </c>
      <c r="AN98" s="34">
        <v>21</v>
      </c>
      <c r="AO98" s="34">
        <f>H98*0.817173837</f>
        <v>0</v>
      </c>
      <c r="AP98" s="34">
        <f>H98*(1-0.817173837)</f>
        <v>0</v>
      </c>
      <c r="AQ98" s="65" t="s">
        <v>129</v>
      </c>
      <c r="AV98" s="34">
        <f>ROUND(AW98+AX98,2)</f>
        <v>0</v>
      </c>
      <c r="AW98" s="34">
        <f>ROUND(G98*AO98,2)</f>
        <v>0</v>
      </c>
      <c r="AX98" s="34">
        <f>ROUND(G98*AP98,2)</f>
        <v>0</v>
      </c>
      <c r="AY98" s="65" t="s">
        <v>240</v>
      </c>
      <c r="AZ98" s="65" t="s">
        <v>241</v>
      </c>
      <c r="BA98" s="46" t="s">
        <v>136</v>
      </c>
      <c r="BC98" s="34">
        <f>AW98+AX98</f>
        <v>0</v>
      </c>
      <c r="BD98" s="34">
        <f>H98/(100-BE98)*100</f>
        <v>0</v>
      </c>
      <c r="BE98" s="34">
        <v>0</v>
      </c>
      <c r="BF98" s="34">
        <f>98</f>
        <v>98</v>
      </c>
      <c r="BH98" s="34">
        <f>G98*AO98</f>
        <v>0</v>
      </c>
      <c r="BI98" s="34">
        <f>G98*AP98</f>
        <v>0</v>
      </c>
      <c r="BJ98" s="34">
        <f>G98*H98</f>
        <v>0</v>
      </c>
      <c r="BK98" s="34"/>
      <c r="BL98" s="34">
        <v>31</v>
      </c>
      <c r="BW98" s="34">
        <v>21</v>
      </c>
      <c r="BX98" s="3" t="s">
        <v>300</v>
      </c>
    </row>
    <row r="99" spans="1:76" ht="13.5" customHeight="1" x14ac:dyDescent="0.25">
      <c r="A99" s="66"/>
      <c r="C99" s="69" t="s">
        <v>204</v>
      </c>
      <c r="D99" s="169" t="s">
        <v>301</v>
      </c>
      <c r="E99" s="170"/>
      <c r="F99" s="170"/>
      <c r="G99" s="170"/>
      <c r="H99" s="171"/>
      <c r="I99" s="170"/>
      <c r="J99" s="170"/>
      <c r="K99" s="172"/>
    </row>
    <row r="100" spans="1:76" x14ac:dyDescent="0.25">
      <c r="A100" s="66"/>
      <c r="D100" s="67" t="s">
        <v>302</v>
      </c>
      <c r="E100" s="67" t="s">
        <v>303</v>
      </c>
      <c r="G100" s="68">
        <v>12.4</v>
      </c>
      <c r="K100" s="59"/>
    </row>
    <row r="101" spans="1:76" x14ac:dyDescent="0.25">
      <c r="A101" s="1" t="s">
        <v>304</v>
      </c>
      <c r="B101" s="2" t="s">
        <v>84</v>
      </c>
      <c r="C101" s="2" t="s">
        <v>305</v>
      </c>
      <c r="D101" s="86" t="s">
        <v>306</v>
      </c>
      <c r="E101" s="81"/>
      <c r="F101" s="2" t="s">
        <v>132</v>
      </c>
      <c r="G101" s="34">
        <v>117.828</v>
      </c>
      <c r="H101" s="64">
        <v>0</v>
      </c>
      <c r="I101" s="34">
        <f>ROUND(G101*H101,2)</f>
        <v>0</v>
      </c>
      <c r="J101" s="65" t="s">
        <v>133</v>
      </c>
      <c r="K101" s="59"/>
      <c r="Z101" s="34">
        <f>ROUND(IF(AQ101="5",BJ101,0),2)</f>
        <v>0</v>
      </c>
      <c r="AB101" s="34">
        <f>ROUND(IF(AQ101="1",BH101,0),2)</f>
        <v>0</v>
      </c>
      <c r="AC101" s="34">
        <f>ROUND(IF(AQ101="1",BI101,0),2)</f>
        <v>0</v>
      </c>
      <c r="AD101" s="34">
        <f>ROUND(IF(AQ101="7",BH101,0),2)</f>
        <v>0</v>
      </c>
      <c r="AE101" s="34">
        <f>ROUND(IF(AQ101="7",BI101,0),2)</f>
        <v>0</v>
      </c>
      <c r="AF101" s="34">
        <f>ROUND(IF(AQ101="2",BH101,0),2)</f>
        <v>0</v>
      </c>
      <c r="AG101" s="34">
        <f>ROUND(IF(AQ101="2",BI101,0),2)</f>
        <v>0</v>
      </c>
      <c r="AH101" s="34">
        <f>ROUND(IF(AQ101="0",BJ101,0),2)</f>
        <v>0</v>
      </c>
      <c r="AI101" s="46" t="s">
        <v>84</v>
      </c>
      <c r="AJ101" s="34">
        <f>IF(AN101=0,I101,0)</f>
        <v>0</v>
      </c>
      <c r="AK101" s="34">
        <f>IF(AN101=12,I101,0)</f>
        <v>0</v>
      </c>
      <c r="AL101" s="34">
        <f>IF(AN101=21,I101,0)</f>
        <v>0</v>
      </c>
      <c r="AN101" s="34">
        <v>21</v>
      </c>
      <c r="AO101" s="34">
        <f>H101*0.80286653</f>
        <v>0</v>
      </c>
      <c r="AP101" s="34">
        <f>H101*(1-0.80286653)</f>
        <v>0</v>
      </c>
      <c r="AQ101" s="65" t="s">
        <v>129</v>
      </c>
      <c r="AV101" s="34">
        <f>ROUND(AW101+AX101,2)</f>
        <v>0</v>
      </c>
      <c r="AW101" s="34">
        <f>ROUND(G101*AO101,2)</f>
        <v>0</v>
      </c>
      <c r="AX101" s="34">
        <f>ROUND(G101*AP101,2)</f>
        <v>0</v>
      </c>
      <c r="AY101" s="65" t="s">
        <v>240</v>
      </c>
      <c r="AZ101" s="65" t="s">
        <v>241</v>
      </c>
      <c r="BA101" s="46" t="s">
        <v>136</v>
      </c>
      <c r="BC101" s="34">
        <f>AW101+AX101</f>
        <v>0</v>
      </c>
      <c r="BD101" s="34">
        <f>H101/(100-BE101)*100</f>
        <v>0</v>
      </c>
      <c r="BE101" s="34">
        <v>0</v>
      </c>
      <c r="BF101" s="34">
        <f>101</f>
        <v>101</v>
      </c>
      <c r="BH101" s="34">
        <f>G101*AO101</f>
        <v>0</v>
      </c>
      <c r="BI101" s="34">
        <f>G101*AP101</f>
        <v>0</v>
      </c>
      <c r="BJ101" s="34">
        <f>G101*H101</f>
        <v>0</v>
      </c>
      <c r="BK101" s="34"/>
      <c r="BL101" s="34">
        <v>31</v>
      </c>
      <c r="BW101" s="34">
        <v>21</v>
      </c>
      <c r="BX101" s="3" t="s">
        <v>306</v>
      </c>
    </row>
    <row r="102" spans="1:76" x14ac:dyDescent="0.25">
      <c r="A102" s="66"/>
      <c r="D102" s="67" t="s">
        <v>307</v>
      </c>
      <c r="E102" s="67" t="s">
        <v>308</v>
      </c>
      <c r="G102" s="68">
        <v>51.1</v>
      </c>
      <c r="K102" s="59"/>
    </row>
    <row r="103" spans="1:76" x14ac:dyDescent="0.25">
      <c r="A103" s="66"/>
      <c r="D103" s="67" t="s">
        <v>309</v>
      </c>
      <c r="E103" s="67" t="s">
        <v>4</v>
      </c>
      <c r="G103" s="68">
        <v>-1.1180000000000001</v>
      </c>
      <c r="K103" s="59"/>
    </row>
    <row r="104" spans="1:76" x14ac:dyDescent="0.25">
      <c r="A104" s="66"/>
      <c r="D104" s="67" t="s">
        <v>310</v>
      </c>
      <c r="E104" s="67" t="s">
        <v>4</v>
      </c>
      <c r="G104" s="68">
        <v>-1.482</v>
      </c>
      <c r="K104" s="59"/>
    </row>
    <row r="105" spans="1:76" x14ac:dyDescent="0.25">
      <c r="A105" s="66"/>
      <c r="D105" s="67" t="s">
        <v>311</v>
      </c>
      <c r="E105" s="67" t="s">
        <v>4</v>
      </c>
      <c r="G105" s="68">
        <v>-1.2024999999999999</v>
      </c>
      <c r="K105" s="59"/>
    </row>
    <row r="106" spans="1:76" x14ac:dyDescent="0.25">
      <c r="A106" s="66"/>
      <c r="D106" s="67" t="s">
        <v>312</v>
      </c>
      <c r="E106" s="67" t="s">
        <v>4</v>
      </c>
      <c r="G106" s="68">
        <v>-0.46800000000000003</v>
      </c>
      <c r="K106" s="59"/>
    </row>
    <row r="107" spans="1:76" x14ac:dyDescent="0.25">
      <c r="A107" s="66"/>
      <c r="D107" s="67" t="s">
        <v>313</v>
      </c>
      <c r="E107" s="67" t="s">
        <v>4</v>
      </c>
      <c r="G107" s="68">
        <v>-0.51024999999999998</v>
      </c>
      <c r="K107" s="59"/>
    </row>
    <row r="108" spans="1:76" x14ac:dyDescent="0.25">
      <c r="A108" s="66"/>
      <c r="D108" s="67" t="s">
        <v>314</v>
      </c>
      <c r="E108" s="67" t="s">
        <v>4</v>
      </c>
      <c r="G108" s="68">
        <v>-1.2935000000000001</v>
      </c>
      <c r="K108" s="59"/>
    </row>
    <row r="109" spans="1:76" x14ac:dyDescent="0.25">
      <c r="A109" s="66"/>
      <c r="D109" s="67" t="s">
        <v>315</v>
      </c>
      <c r="E109" s="67" t="s">
        <v>4</v>
      </c>
      <c r="G109" s="68">
        <v>-1.2317499999999999</v>
      </c>
      <c r="K109" s="59"/>
    </row>
    <row r="110" spans="1:76" x14ac:dyDescent="0.25">
      <c r="A110" s="66"/>
      <c r="D110" s="67" t="s">
        <v>316</v>
      </c>
      <c r="E110" s="67" t="s">
        <v>317</v>
      </c>
      <c r="G110" s="68">
        <v>59.2</v>
      </c>
      <c r="K110" s="59"/>
    </row>
    <row r="111" spans="1:76" x14ac:dyDescent="0.25">
      <c r="A111" s="66"/>
      <c r="D111" s="67" t="s">
        <v>318</v>
      </c>
      <c r="E111" s="67" t="s">
        <v>4</v>
      </c>
      <c r="G111" s="68">
        <v>-12.996</v>
      </c>
      <c r="K111" s="59"/>
    </row>
    <row r="112" spans="1:76" x14ac:dyDescent="0.25">
      <c r="A112" s="66"/>
      <c r="D112" s="67" t="s">
        <v>319</v>
      </c>
      <c r="E112" s="67" t="s">
        <v>4</v>
      </c>
      <c r="G112" s="68">
        <v>-2.58</v>
      </c>
      <c r="K112" s="59"/>
    </row>
    <row r="113" spans="1:76" x14ac:dyDescent="0.25">
      <c r="A113" s="66"/>
      <c r="D113" s="67" t="s">
        <v>320</v>
      </c>
      <c r="E113" s="67" t="s">
        <v>321</v>
      </c>
      <c r="G113" s="68">
        <v>3.8</v>
      </c>
      <c r="K113" s="59"/>
    </row>
    <row r="114" spans="1:76" x14ac:dyDescent="0.25">
      <c r="A114" s="66"/>
      <c r="D114" s="67" t="s">
        <v>322</v>
      </c>
      <c r="E114" s="67" t="s">
        <v>323</v>
      </c>
      <c r="G114" s="68">
        <v>12.41</v>
      </c>
      <c r="K114" s="59"/>
    </row>
    <row r="115" spans="1:76" x14ac:dyDescent="0.25">
      <c r="A115" s="66"/>
      <c r="D115" s="67" t="s">
        <v>324</v>
      </c>
      <c r="E115" s="67" t="s">
        <v>325</v>
      </c>
      <c r="G115" s="68">
        <v>3.7</v>
      </c>
      <c r="K115" s="59"/>
    </row>
    <row r="116" spans="1:76" x14ac:dyDescent="0.25">
      <c r="A116" s="66"/>
      <c r="D116" s="67" t="s">
        <v>326</v>
      </c>
      <c r="E116" s="67" t="s">
        <v>327</v>
      </c>
      <c r="G116" s="68">
        <v>10.5</v>
      </c>
      <c r="K116" s="59"/>
    </row>
    <row r="117" spans="1:76" x14ac:dyDescent="0.25">
      <c r="A117" s="1" t="s">
        <v>328</v>
      </c>
      <c r="B117" s="2" t="s">
        <v>84</v>
      </c>
      <c r="C117" s="2" t="s">
        <v>329</v>
      </c>
      <c r="D117" s="86" t="s">
        <v>330</v>
      </c>
      <c r="E117" s="81"/>
      <c r="F117" s="2" t="s">
        <v>258</v>
      </c>
      <c r="G117" s="34">
        <v>36</v>
      </c>
      <c r="H117" s="64">
        <v>0</v>
      </c>
      <c r="I117" s="34">
        <f>ROUND(G117*H117,2)</f>
        <v>0</v>
      </c>
      <c r="J117" s="65" t="s">
        <v>133</v>
      </c>
      <c r="K117" s="59"/>
      <c r="Z117" s="34">
        <f>ROUND(IF(AQ117="5",BJ117,0),2)</f>
        <v>0</v>
      </c>
      <c r="AB117" s="34">
        <f>ROUND(IF(AQ117="1",BH117,0),2)</f>
        <v>0</v>
      </c>
      <c r="AC117" s="34">
        <f>ROUND(IF(AQ117="1",BI117,0),2)</f>
        <v>0</v>
      </c>
      <c r="AD117" s="34">
        <f>ROUND(IF(AQ117="7",BH117,0),2)</f>
        <v>0</v>
      </c>
      <c r="AE117" s="34">
        <f>ROUND(IF(AQ117="7",BI117,0),2)</f>
        <v>0</v>
      </c>
      <c r="AF117" s="34">
        <f>ROUND(IF(AQ117="2",BH117,0),2)</f>
        <v>0</v>
      </c>
      <c r="AG117" s="34">
        <f>ROUND(IF(AQ117="2",BI117,0),2)</f>
        <v>0</v>
      </c>
      <c r="AH117" s="34">
        <f>ROUND(IF(AQ117="0",BJ117,0),2)</f>
        <v>0</v>
      </c>
      <c r="AI117" s="46" t="s">
        <v>84</v>
      </c>
      <c r="AJ117" s="34">
        <f>IF(AN117=0,I117,0)</f>
        <v>0</v>
      </c>
      <c r="AK117" s="34">
        <f>IF(AN117=12,I117,0)</f>
        <v>0</v>
      </c>
      <c r="AL117" s="34">
        <f>IF(AN117=21,I117,0)</f>
        <v>0</v>
      </c>
      <c r="AN117" s="34">
        <v>21</v>
      </c>
      <c r="AO117" s="34">
        <f>H117*0.793659022</f>
        <v>0</v>
      </c>
      <c r="AP117" s="34">
        <f>H117*(1-0.793659022)</f>
        <v>0</v>
      </c>
      <c r="AQ117" s="65" t="s">
        <v>129</v>
      </c>
      <c r="AV117" s="34">
        <f>ROUND(AW117+AX117,2)</f>
        <v>0</v>
      </c>
      <c r="AW117" s="34">
        <f>ROUND(G117*AO117,2)</f>
        <v>0</v>
      </c>
      <c r="AX117" s="34">
        <f>ROUND(G117*AP117,2)</f>
        <v>0</v>
      </c>
      <c r="AY117" s="65" t="s">
        <v>240</v>
      </c>
      <c r="AZ117" s="65" t="s">
        <v>241</v>
      </c>
      <c r="BA117" s="46" t="s">
        <v>136</v>
      </c>
      <c r="BC117" s="34">
        <f>AW117+AX117</f>
        <v>0</v>
      </c>
      <c r="BD117" s="34">
        <f>H117/(100-BE117)*100</f>
        <v>0</v>
      </c>
      <c r="BE117" s="34">
        <v>0</v>
      </c>
      <c r="BF117" s="34">
        <f>117</f>
        <v>117</v>
      </c>
      <c r="BH117" s="34">
        <f>G117*AO117</f>
        <v>0</v>
      </c>
      <c r="BI117" s="34">
        <f>G117*AP117</f>
        <v>0</v>
      </c>
      <c r="BJ117" s="34">
        <f>G117*H117</f>
        <v>0</v>
      </c>
      <c r="BK117" s="34"/>
      <c r="BL117" s="34">
        <v>31</v>
      </c>
      <c r="BW117" s="34">
        <v>21</v>
      </c>
      <c r="BX117" s="3" t="s">
        <v>330</v>
      </c>
    </row>
    <row r="118" spans="1:76" x14ac:dyDescent="0.25">
      <c r="A118" s="66"/>
      <c r="D118" s="67" t="s">
        <v>331</v>
      </c>
      <c r="E118" s="67" t="s">
        <v>332</v>
      </c>
      <c r="G118" s="68">
        <v>36</v>
      </c>
      <c r="K118" s="59"/>
    </row>
    <row r="119" spans="1:76" x14ac:dyDescent="0.25">
      <c r="A119" s="1" t="s">
        <v>187</v>
      </c>
      <c r="B119" s="2" t="s">
        <v>84</v>
      </c>
      <c r="C119" s="2" t="s">
        <v>333</v>
      </c>
      <c r="D119" s="86" t="s">
        <v>334</v>
      </c>
      <c r="E119" s="81"/>
      <c r="F119" s="2" t="s">
        <v>239</v>
      </c>
      <c r="G119" s="34">
        <v>33.1</v>
      </c>
      <c r="H119" s="64">
        <v>0</v>
      </c>
      <c r="I119" s="34">
        <f>ROUND(G119*H119,2)</f>
        <v>0</v>
      </c>
      <c r="J119" s="65" t="s">
        <v>133</v>
      </c>
      <c r="K119" s="59"/>
      <c r="Z119" s="34">
        <f>ROUND(IF(AQ119="5",BJ119,0),2)</f>
        <v>0</v>
      </c>
      <c r="AB119" s="34">
        <f>ROUND(IF(AQ119="1",BH119,0),2)</f>
        <v>0</v>
      </c>
      <c r="AC119" s="34">
        <f>ROUND(IF(AQ119="1",BI119,0),2)</f>
        <v>0</v>
      </c>
      <c r="AD119" s="34">
        <f>ROUND(IF(AQ119="7",BH119,0),2)</f>
        <v>0</v>
      </c>
      <c r="AE119" s="34">
        <f>ROUND(IF(AQ119="7",BI119,0),2)</f>
        <v>0</v>
      </c>
      <c r="AF119" s="34">
        <f>ROUND(IF(AQ119="2",BH119,0),2)</f>
        <v>0</v>
      </c>
      <c r="AG119" s="34">
        <f>ROUND(IF(AQ119="2",BI119,0),2)</f>
        <v>0</v>
      </c>
      <c r="AH119" s="34">
        <f>ROUND(IF(AQ119="0",BJ119,0),2)</f>
        <v>0</v>
      </c>
      <c r="AI119" s="46" t="s">
        <v>84</v>
      </c>
      <c r="AJ119" s="34">
        <f>IF(AN119=0,I119,0)</f>
        <v>0</v>
      </c>
      <c r="AK119" s="34">
        <f>IF(AN119=12,I119,0)</f>
        <v>0</v>
      </c>
      <c r="AL119" s="34">
        <f>IF(AN119=21,I119,0)</f>
        <v>0</v>
      </c>
      <c r="AN119" s="34">
        <v>21</v>
      </c>
      <c r="AO119" s="34">
        <f>H119*0.213636441</f>
        <v>0</v>
      </c>
      <c r="AP119" s="34">
        <f>H119*(1-0.213636441)</f>
        <v>0</v>
      </c>
      <c r="AQ119" s="65" t="s">
        <v>129</v>
      </c>
      <c r="AV119" s="34">
        <f>ROUND(AW119+AX119,2)</f>
        <v>0</v>
      </c>
      <c r="AW119" s="34">
        <f>ROUND(G119*AO119,2)</f>
        <v>0</v>
      </c>
      <c r="AX119" s="34">
        <f>ROUND(G119*AP119,2)</f>
        <v>0</v>
      </c>
      <c r="AY119" s="65" t="s">
        <v>240</v>
      </c>
      <c r="AZ119" s="65" t="s">
        <v>241</v>
      </c>
      <c r="BA119" s="46" t="s">
        <v>136</v>
      </c>
      <c r="BC119" s="34">
        <f>AW119+AX119</f>
        <v>0</v>
      </c>
      <c r="BD119" s="34">
        <f>H119/(100-BE119)*100</f>
        <v>0</v>
      </c>
      <c r="BE119" s="34">
        <v>0</v>
      </c>
      <c r="BF119" s="34">
        <f>119</f>
        <v>119</v>
      </c>
      <c r="BH119" s="34">
        <f>G119*AO119</f>
        <v>0</v>
      </c>
      <c r="BI119" s="34">
        <f>G119*AP119</f>
        <v>0</v>
      </c>
      <c r="BJ119" s="34">
        <f>G119*H119</f>
        <v>0</v>
      </c>
      <c r="BK119" s="34"/>
      <c r="BL119" s="34">
        <v>31</v>
      </c>
      <c r="BW119" s="34">
        <v>21</v>
      </c>
      <c r="BX119" s="3" t="s">
        <v>334</v>
      </c>
    </row>
    <row r="120" spans="1:76" x14ac:dyDescent="0.25">
      <c r="A120" s="66"/>
      <c r="D120" s="67" t="s">
        <v>335</v>
      </c>
      <c r="E120" s="67" t="s">
        <v>332</v>
      </c>
      <c r="G120" s="68">
        <v>11.25</v>
      </c>
      <c r="K120" s="59"/>
    </row>
    <row r="121" spans="1:76" x14ac:dyDescent="0.25">
      <c r="A121" s="66"/>
      <c r="D121" s="67" t="s">
        <v>336</v>
      </c>
      <c r="E121" s="67" t="s">
        <v>337</v>
      </c>
      <c r="G121" s="68">
        <v>2.25</v>
      </c>
      <c r="K121" s="59"/>
    </row>
    <row r="122" spans="1:76" x14ac:dyDescent="0.25">
      <c r="A122" s="66"/>
      <c r="D122" s="67" t="s">
        <v>338</v>
      </c>
      <c r="E122" s="67" t="s">
        <v>339</v>
      </c>
      <c r="G122" s="68">
        <v>2.75</v>
      </c>
      <c r="K122" s="59"/>
    </row>
    <row r="123" spans="1:76" x14ac:dyDescent="0.25">
      <c r="A123" s="66"/>
      <c r="D123" s="67" t="s">
        <v>340</v>
      </c>
      <c r="E123" s="67" t="s">
        <v>341</v>
      </c>
      <c r="G123" s="68">
        <v>3.25</v>
      </c>
      <c r="K123" s="59"/>
    </row>
    <row r="124" spans="1:76" x14ac:dyDescent="0.25">
      <c r="A124" s="66"/>
      <c r="D124" s="67" t="s">
        <v>342</v>
      </c>
      <c r="E124" s="67" t="s">
        <v>343</v>
      </c>
      <c r="G124" s="68">
        <v>3.5</v>
      </c>
      <c r="K124" s="59"/>
    </row>
    <row r="125" spans="1:76" x14ac:dyDescent="0.25">
      <c r="A125" s="66"/>
      <c r="D125" s="67" t="s">
        <v>344</v>
      </c>
      <c r="E125" s="67" t="s">
        <v>345</v>
      </c>
      <c r="G125" s="68">
        <v>2.5</v>
      </c>
      <c r="K125" s="59"/>
    </row>
    <row r="126" spans="1:76" x14ac:dyDescent="0.25">
      <c r="A126" s="66"/>
      <c r="D126" s="67" t="s">
        <v>346</v>
      </c>
      <c r="E126" s="67" t="s">
        <v>347</v>
      </c>
      <c r="G126" s="68">
        <v>6</v>
      </c>
      <c r="K126" s="59"/>
    </row>
    <row r="127" spans="1:76" x14ac:dyDescent="0.25">
      <c r="A127" s="66"/>
      <c r="D127" s="67" t="s">
        <v>348</v>
      </c>
      <c r="E127" s="67" t="s">
        <v>349</v>
      </c>
      <c r="G127" s="68">
        <v>1.6</v>
      </c>
      <c r="K127" s="59"/>
    </row>
    <row r="128" spans="1:76" x14ac:dyDescent="0.25">
      <c r="A128" s="1" t="s">
        <v>350</v>
      </c>
      <c r="B128" s="2" t="s">
        <v>84</v>
      </c>
      <c r="C128" s="2" t="s">
        <v>351</v>
      </c>
      <c r="D128" s="86" t="s">
        <v>352</v>
      </c>
      <c r="E128" s="81"/>
      <c r="F128" s="2" t="s">
        <v>258</v>
      </c>
      <c r="G128" s="34">
        <v>4</v>
      </c>
      <c r="H128" s="64">
        <v>0</v>
      </c>
      <c r="I128" s="34">
        <f>ROUND(G128*H128,2)</f>
        <v>0</v>
      </c>
      <c r="J128" s="65" t="s">
        <v>133</v>
      </c>
      <c r="K128" s="59"/>
      <c r="Z128" s="34">
        <f>ROUND(IF(AQ128="5",BJ128,0),2)</f>
        <v>0</v>
      </c>
      <c r="AB128" s="34">
        <f>ROUND(IF(AQ128="1",BH128,0),2)</f>
        <v>0</v>
      </c>
      <c r="AC128" s="34">
        <f>ROUND(IF(AQ128="1",BI128,0),2)</f>
        <v>0</v>
      </c>
      <c r="AD128" s="34">
        <f>ROUND(IF(AQ128="7",BH128,0),2)</f>
        <v>0</v>
      </c>
      <c r="AE128" s="34">
        <f>ROUND(IF(AQ128="7",BI128,0),2)</f>
        <v>0</v>
      </c>
      <c r="AF128" s="34">
        <f>ROUND(IF(AQ128="2",BH128,0),2)</f>
        <v>0</v>
      </c>
      <c r="AG128" s="34">
        <f>ROUND(IF(AQ128="2",BI128,0),2)</f>
        <v>0</v>
      </c>
      <c r="AH128" s="34">
        <f>ROUND(IF(AQ128="0",BJ128,0),2)</f>
        <v>0</v>
      </c>
      <c r="AI128" s="46" t="s">
        <v>84</v>
      </c>
      <c r="AJ128" s="34">
        <f>IF(AN128=0,I128,0)</f>
        <v>0</v>
      </c>
      <c r="AK128" s="34">
        <f>IF(AN128=12,I128,0)</f>
        <v>0</v>
      </c>
      <c r="AL128" s="34">
        <f>IF(AN128=21,I128,0)</f>
        <v>0</v>
      </c>
      <c r="AN128" s="34">
        <v>21</v>
      </c>
      <c r="AO128" s="34">
        <f>H128*0.86009352</f>
        <v>0</v>
      </c>
      <c r="AP128" s="34">
        <f>H128*(1-0.86009352)</f>
        <v>0</v>
      </c>
      <c r="AQ128" s="65" t="s">
        <v>129</v>
      </c>
      <c r="AV128" s="34">
        <f>ROUND(AW128+AX128,2)</f>
        <v>0</v>
      </c>
      <c r="AW128" s="34">
        <f>ROUND(G128*AO128,2)</f>
        <v>0</v>
      </c>
      <c r="AX128" s="34">
        <f>ROUND(G128*AP128,2)</f>
        <v>0</v>
      </c>
      <c r="AY128" s="65" t="s">
        <v>240</v>
      </c>
      <c r="AZ128" s="65" t="s">
        <v>241</v>
      </c>
      <c r="BA128" s="46" t="s">
        <v>136</v>
      </c>
      <c r="BC128" s="34">
        <f>AW128+AX128</f>
        <v>0</v>
      </c>
      <c r="BD128" s="34">
        <f>H128/(100-BE128)*100</f>
        <v>0</v>
      </c>
      <c r="BE128" s="34">
        <v>0</v>
      </c>
      <c r="BF128" s="34">
        <f>128</f>
        <v>128</v>
      </c>
      <c r="BH128" s="34">
        <f>G128*AO128</f>
        <v>0</v>
      </c>
      <c r="BI128" s="34">
        <f>G128*AP128</f>
        <v>0</v>
      </c>
      <c r="BJ128" s="34">
        <f>G128*H128</f>
        <v>0</v>
      </c>
      <c r="BK128" s="34"/>
      <c r="BL128" s="34">
        <v>31</v>
      </c>
      <c r="BW128" s="34">
        <v>21</v>
      </c>
      <c r="BX128" s="3" t="s">
        <v>352</v>
      </c>
    </row>
    <row r="129" spans="1:76" x14ac:dyDescent="0.25">
      <c r="A129" s="66"/>
      <c r="D129" s="67" t="s">
        <v>353</v>
      </c>
      <c r="E129" s="67" t="s">
        <v>337</v>
      </c>
      <c r="G129" s="68">
        <v>4</v>
      </c>
      <c r="K129" s="59"/>
    </row>
    <row r="130" spans="1:76" x14ac:dyDescent="0.25">
      <c r="A130" s="1" t="s">
        <v>354</v>
      </c>
      <c r="B130" s="2" t="s">
        <v>84</v>
      </c>
      <c r="C130" s="2" t="s">
        <v>355</v>
      </c>
      <c r="D130" s="86" t="s">
        <v>356</v>
      </c>
      <c r="E130" s="81"/>
      <c r="F130" s="2" t="s">
        <v>258</v>
      </c>
      <c r="G130" s="34">
        <v>4</v>
      </c>
      <c r="H130" s="64">
        <v>0</v>
      </c>
      <c r="I130" s="34">
        <f>ROUND(G130*H130,2)</f>
        <v>0</v>
      </c>
      <c r="J130" s="65" t="s">
        <v>133</v>
      </c>
      <c r="K130" s="59"/>
      <c r="Z130" s="34">
        <f>ROUND(IF(AQ130="5",BJ130,0),2)</f>
        <v>0</v>
      </c>
      <c r="AB130" s="34">
        <f>ROUND(IF(AQ130="1",BH130,0),2)</f>
        <v>0</v>
      </c>
      <c r="AC130" s="34">
        <f>ROUND(IF(AQ130="1",BI130,0),2)</f>
        <v>0</v>
      </c>
      <c r="AD130" s="34">
        <f>ROUND(IF(AQ130="7",BH130,0),2)</f>
        <v>0</v>
      </c>
      <c r="AE130" s="34">
        <f>ROUND(IF(AQ130="7",BI130,0),2)</f>
        <v>0</v>
      </c>
      <c r="AF130" s="34">
        <f>ROUND(IF(AQ130="2",BH130,0),2)</f>
        <v>0</v>
      </c>
      <c r="AG130" s="34">
        <f>ROUND(IF(AQ130="2",BI130,0),2)</f>
        <v>0</v>
      </c>
      <c r="AH130" s="34">
        <f>ROUND(IF(AQ130="0",BJ130,0),2)</f>
        <v>0</v>
      </c>
      <c r="AI130" s="46" t="s">
        <v>84</v>
      </c>
      <c r="AJ130" s="34">
        <f>IF(AN130=0,I130,0)</f>
        <v>0</v>
      </c>
      <c r="AK130" s="34">
        <f>IF(AN130=12,I130,0)</f>
        <v>0</v>
      </c>
      <c r="AL130" s="34">
        <f>IF(AN130=21,I130,0)</f>
        <v>0</v>
      </c>
      <c r="AN130" s="34">
        <v>21</v>
      </c>
      <c r="AO130" s="34">
        <f>H130*0.876069451</f>
        <v>0</v>
      </c>
      <c r="AP130" s="34">
        <f>H130*(1-0.876069451)</f>
        <v>0</v>
      </c>
      <c r="AQ130" s="65" t="s">
        <v>129</v>
      </c>
      <c r="AV130" s="34">
        <f>ROUND(AW130+AX130,2)</f>
        <v>0</v>
      </c>
      <c r="AW130" s="34">
        <f>ROUND(G130*AO130,2)</f>
        <v>0</v>
      </c>
      <c r="AX130" s="34">
        <f>ROUND(G130*AP130,2)</f>
        <v>0</v>
      </c>
      <c r="AY130" s="65" t="s">
        <v>240</v>
      </c>
      <c r="AZ130" s="65" t="s">
        <v>241</v>
      </c>
      <c r="BA130" s="46" t="s">
        <v>136</v>
      </c>
      <c r="BC130" s="34">
        <f>AW130+AX130</f>
        <v>0</v>
      </c>
      <c r="BD130" s="34">
        <f>H130/(100-BE130)*100</f>
        <v>0</v>
      </c>
      <c r="BE130" s="34">
        <v>0</v>
      </c>
      <c r="BF130" s="34">
        <f>130</f>
        <v>130</v>
      </c>
      <c r="BH130" s="34">
        <f>G130*AO130</f>
        <v>0</v>
      </c>
      <c r="BI130" s="34">
        <f>G130*AP130</f>
        <v>0</v>
      </c>
      <c r="BJ130" s="34">
        <f>G130*H130</f>
        <v>0</v>
      </c>
      <c r="BK130" s="34"/>
      <c r="BL130" s="34">
        <v>31</v>
      </c>
      <c r="BW130" s="34">
        <v>21</v>
      </c>
      <c r="BX130" s="3" t="s">
        <v>356</v>
      </c>
    </row>
    <row r="131" spans="1:76" x14ac:dyDescent="0.25">
      <c r="A131" s="66"/>
      <c r="D131" s="67" t="s">
        <v>353</v>
      </c>
      <c r="E131" s="67" t="s">
        <v>339</v>
      </c>
      <c r="G131" s="68">
        <v>4</v>
      </c>
      <c r="K131" s="59"/>
    </row>
    <row r="132" spans="1:76" x14ac:dyDescent="0.25">
      <c r="A132" s="1" t="s">
        <v>357</v>
      </c>
      <c r="B132" s="2" t="s">
        <v>84</v>
      </c>
      <c r="C132" s="2" t="s">
        <v>358</v>
      </c>
      <c r="D132" s="86" t="s">
        <v>359</v>
      </c>
      <c r="E132" s="81"/>
      <c r="F132" s="2" t="s">
        <v>258</v>
      </c>
      <c r="G132" s="34">
        <v>4</v>
      </c>
      <c r="H132" s="64">
        <v>0</v>
      </c>
      <c r="I132" s="34">
        <f>ROUND(G132*H132,2)</f>
        <v>0</v>
      </c>
      <c r="J132" s="65" t="s">
        <v>133</v>
      </c>
      <c r="K132" s="59"/>
      <c r="Z132" s="34">
        <f>ROUND(IF(AQ132="5",BJ132,0),2)</f>
        <v>0</v>
      </c>
      <c r="AB132" s="34">
        <f>ROUND(IF(AQ132="1",BH132,0),2)</f>
        <v>0</v>
      </c>
      <c r="AC132" s="34">
        <f>ROUND(IF(AQ132="1",BI132,0),2)</f>
        <v>0</v>
      </c>
      <c r="AD132" s="34">
        <f>ROUND(IF(AQ132="7",BH132,0),2)</f>
        <v>0</v>
      </c>
      <c r="AE132" s="34">
        <f>ROUND(IF(AQ132="7",BI132,0),2)</f>
        <v>0</v>
      </c>
      <c r="AF132" s="34">
        <f>ROUND(IF(AQ132="2",BH132,0),2)</f>
        <v>0</v>
      </c>
      <c r="AG132" s="34">
        <f>ROUND(IF(AQ132="2",BI132,0),2)</f>
        <v>0</v>
      </c>
      <c r="AH132" s="34">
        <f>ROUND(IF(AQ132="0",BJ132,0),2)</f>
        <v>0</v>
      </c>
      <c r="AI132" s="46" t="s">
        <v>84</v>
      </c>
      <c r="AJ132" s="34">
        <f>IF(AN132=0,I132,0)</f>
        <v>0</v>
      </c>
      <c r="AK132" s="34">
        <f>IF(AN132=12,I132,0)</f>
        <v>0</v>
      </c>
      <c r="AL132" s="34">
        <f>IF(AN132=21,I132,0)</f>
        <v>0</v>
      </c>
      <c r="AN132" s="34">
        <v>21</v>
      </c>
      <c r="AO132" s="34">
        <f>H132*0.878004357</f>
        <v>0</v>
      </c>
      <c r="AP132" s="34">
        <f>H132*(1-0.878004357)</f>
        <v>0</v>
      </c>
      <c r="AQ132" s="65" t="s">
        <v>129</v>
      </c>
      <c r="AV132" s="34">
        <f>ROUND(AW132+AX132,2)</f>
        <v>0</v>
      </c>
      <c r="AW132" s="34">
        <f>ROUND(G132*AO132,2)</f>
        <v>0</v>
      </c>
      <c r="AX132" s="34">
        <f>ROUND(G132*AP132,2)</f>
        <v>0</v>
      </c>
      <c r="AY132" s="65" t="s">
        <v>240</v>
      </c>
      <c r="AZ132" s="65" t="s">
        <v>241</v>
      </c>
      <c r="BA132" s="46" t="s">
        <v>136</v>
      </c>
      <c r="BC132" s="34">
        <f>AW132+AX132</f>
        <v>0</v>
      </c>
      <c r="BD132" s="34">
        <f>H132/(100-BE132)*100</f>
        <v>0</v>
      </c>
      <c r="BE132" s="34">
        <v>0</v>
      </c>
      <c r="BF132" s="34">
        <f>132</f>
        <v>132</v>
      </c>
      <c r="BH132" s="34">
        <f>G132*AO132</f>
        <v>0</v>
      </c>
      <c r="BI132" s="34">
        <f>G132*AP132</f>
        <v>0</v>
      </c>
      <c r="BJ132" s="34">
        <f>G132*H132</f>
        <v>0</v>
      </c>
      <c r="BK132" s="34"/>
      <c r="BL132" s="34">
        <v>31</v>
      </c>
      <c r="BW132" s="34">
        <v>21</v>
      </c>
      <c r="BX132" s="3" t="s">
        <v>359</v>
      </c>
    </row>
    <row r="133" spans="1:76" x14ac:dyDescent="0.25">
      <c r="A133" s="66"/>
      <c r="D133" s="67" t="s">
        <v>161</v>
      </c>
      <c r="E133" s="67" t="s">
        <v>341</v>
      </c>
      <c r="G133" s="68">
        <v>4</v>
      </c>
      <c r="K133" s="59"/>
    </row>
    <row r="134" spans="1:76" x14ac:dyDescent="0.25">
      <c r="A134" s="1" t="s">
        <v>234</v>
      </c>
      <c r="B134" s="2" t="s">
        <v>84</v>
      </c>
      <c r="C134" s="2" t="s">
        <v>360</v>
      </c>
      <c r="D134" s="86" t="s">
        <v>361</v>
      </c>
      <c r="E134" s="81"/>
      <c r="F134" s="2" t="s">
        <v>258</v>
      </c>
      <c r="G134" s="34">
        <v>4</v>
      </c>
      <c r="H134" s="64">
        <v>0</v>
      </c>
      <c r="I134" s="34">
        <f>ROUND(G134*H134,2)</f>
        <v>0</v>
      </c>
      <c r="J134" s="65" t="s">
        <v>133</v>
      </c>
      <c r="K134" s="59"/>
      <c r="Z134" s="34">
        <f>ROUND(IF(AQ134="5",BJ134,0),2)</f>
        <v>0</v>
      </c>
      <c r="AB134" s="34">
        <f>ROUND(IF(AQ134="1",BH134,0),2)</f>
        <v>0</v>
      </c>
      <c r="AC134" s="34">
        <f>ROUND(IF(AQ134="1",BI134,0),2)</f>
        <v>0</v>
      </c>
      <c r="AD134" s="34">
        <f>ROUND(IF(AQ134="7",BH134,0),2)</f>
        <v>0</v>
      </c>
      <c r="AE134" s="34">
        <f>ROUND(IF(AQ134="7",BI134,0),2)</f>
        <v>0</v>
      </c>
      <c r="AF134" s="34">
        <f>ROUND(IF(AQ134="2",BH134,0),2)</f>
        <v>0</v>
      </c>
      <c r="AG134" s="34">
        <f>ROUND(IF(AQ134="2",BI134,0),2)</f>
        <v>0</v>
      </c>
      <c r="AH134" s="34">
        <f>ROUND(IF(AQ134="0",BJ134,0),2)</f>
        <v>0</v>
      </c>
      <c r="AI134" s="46" t="s">
        <v>84</v>
      </c>
      <c r="AJ134" s="34">
        <f>IF(AN134=0,I134,0)</f>
        <v>0</v>
      </c>
      <c r="AK134" s="34">
        <f>IF(AN134=12,I134,0)</f>
        <v>0</v>
      </c>
      <c r="AL134" s="34">
        <f>IF(AN134=21,I134,0)</f>
        <v>0</v>
      </c>
      <c r="AN134" s="34">
        <v>21</v>
      </c>
      <c r="AO134" s="34">
        <f>H134*0.883629779</f>
        <v>0</v>
      </c>
      <c r="AP134" s="34">
        <f>H134*(1-0.883629779)</f>
        <v>0</v>
      </c>
      <c r="AQ134" s="65" t="s">
        <v>129</v>
      </c>
      <c r="AV134" s="34">
        <f>ROUND(AW134+AX134,2)</f>
        <v>0</v>
      </c>
      <c r="AW134" s="34">
        <f>ROUND(G134*AO134,2)</f>
        <v>0</v>
      </c>
      <c r="AX134" s="34">
        <f>ROUND(G134*AP134,2)</f>
        <v>0</v>
      </c>
      <c r="AY134" s="65" t="s">
        <v>240</v>
      </c>
      <c r="AZ134" s="65" t="s">
        <v>241</v>
      </c>
      <c r="BA134" s="46" t="s">
        <v>136</v>
      </c>
      <c r="BC134" s="34">
        <f>AW134+AX134</f>
        <v>0</v>
      </c>
      <c r="BD134" s="34">
        <f>H134/(100-BE134)*100</f>
        <v>0</v>
      </c>
      <c r="BE134" s="34">
        <v>0</v>
      </c>
      <c r="BF134" s="34">
        <f>134</f>
        <v>134</v>
      </c>
      <c r="BH134" s="34">
        <f>G134*AO134</f>
        <v>0</v>
      </c>
      <c r="BI134" s="34">
        <f>G134*AP134</f>
        <v>0</v>
      </c>
      <c r="BJ134" s="34">
        <f>G134*H134</f>
        <v>0</v>
      </c>
      <c r="BK134" s="34"/>
      <c r="BL134" s="34">
        <v>31</v>
      </c>
      <c r="BW134" s="34">
        <v>21</v>
      </c>
      <c r="BX134" s="3" t="s">
        <v>361</v>
      </c>
    </row>
    <row r="135" spans="1:76" x14ac:dyDescent="0.25">
      <c r="A135" s="66"/>
      <c r="D135" s="67" t="s">
        <v>161</v>
      </c>
      <c r="E135" s="67" t="s">
        <v>343</v>
      </c>
      <c r="G135" s="68">
        <v>4</v>
      </c>
      <c r="K135" s="59"/>
    </row>
    <row r="136" spans="1:76" x14ac:dyDescent="0.25">
      <c r="A136" s="1" t="s">
        <v>362</v>
      </c>
      <c r="B136" s="2" t="s">
        <v>84</v>
      </c>
      <c r="C136" s="2" t="s">
        <v>363</v>
      </c>
      <c r="D136" s="86" t="s">
        <v>364</v>
      </c>
      <c r="E136" s="81"/>
      <c r="F136" s="2" t="s">
        <v>258</v>
      </c>
      <c r="G136" s="34">
        <v>14</v>
      </c>
      <c r="H136" s="64">
        <v>0</v>
      </c>
      <c r="I136" s="34">
        <f>ROUND(G136*H136,2)</f>
        <v>0</v>
      </c>
      <c r="J136" s="65" t="s">
        <v>133</v>
      </c>
      <c r="K136" s="59"/>
      <c r="Z136" s="34">
        <f>ROUND(IF(AQ136="5",BJ136,0),2)</f>
        <v>0</v>
      </c>
      <c r="AB136" s="34">
        <f>ROUND(IF(AQ136="1",BH136,0),2)</f>
        <v>0</v>
      </c>
      <c r="AC136" s="34">
        <f>ROUND(IF(AQ136="1",BI136,0),2)</f>
        <v>0</v>
      </c>
      <c r="AD136" s="34">
        <f>ROUND(IF(AQ136="7",BH136,0),2)</f>
        <v>0</v>
      </c>
      <c r="AE136" s="34">
        <f>ROUND(IF(AQ136="7",BI136,0),2)</f>
        <v>0</v>
      </c>
      <c r="AF136" s="34">
        <f>ROUND(IF(AQ136="2",BH136,0),2)</f>
        <v>0</v>
      </c>
      <c r="AG136" s="34">
        <f>ROUND(IF(AQ136="2",BI136,0),2)</f>
        <v>0</v>
      </c>
      <c r="AH136" s="34">
        <f>ROUND(IF(AQ136="0",BJ136,0),2)</f>
        <v>0</v>
      </c>
      <c r="AI136" s="46" t="s">
        <v>84</v>
      </c>
      <c r="AJ136" s="34">
        <f>IF(AN136=0,I136,0)</f>
        <v>0</v>
      </c>
      <c r="AK136" s="34">
        <f>IF(AN136=12,I136,0)</f>
        <v>0</v>
      </c>
      <c r="AL136" s="34">
        <f>IF(AN136=21,I136,0)</f>
        <v>0</v>
      </c>
      <c r="AN136" s="34">
        <v>21</v>
      </c>
      <c r="AO136" s="34">
        <f>H136*0.815312163</f>
        <v>0</v>
      </c>
      <c r="AP136" s="34">
        <f>H136*(1-0.815312163)</f>
        <v>0</v>
      </c>
      <c r="AQ136" s="65" t="s">
        <v>129</v>
      </c>
      <c r="AV136" s="34">
        <f>ROUND(AW136+AX136,2)</f>
        <v>0</v>
      </c>
      <c r="AW136" s="34">
        <f>ROUND(G136*AO136,2)</f>
        <v>0</v>
      </c>
      <c r="AX136" s="34">
        <f>ROUND(G136*AP136,2)</f>
        <v>0</v>
      </c>
      <c r="AY136" s="65" t="s">
        <v>240</v>
      </c>
      <c r="AZ136" s="65" t="s">
        <v>241</v>
      </c>
      <c r="BA136" s="46" t="s">
        <v>136</v>
      </c>
      <c r="BC136" s="34">
        <f>AW136+AX136</f>
        <v>0</v>
      </c>
      <c r="BD136" s="34">
        <f>H136/(100-BE136)*100</f>
        <v>0</v>
      </c>
      <c r="BE136" s="34">
        <v>0</v>
      </c>
      <c r="BF136" s="34">
        <f>136</f>
        <v>136</v>
      </c>
      <c r="BH136" s="34">
        <f>G136*AO136</f>
        <v>0</v>
      </c>
      <c r="BI136" s="34">
        <f>G136*AP136</f>
        <v>0</v>
      </c>
      <c r="BJ136" s="34">
        <f>G136*H136</f>
        <v>0</v>
      </c>
      <c r="BK136" s="34"/>
      <c r="BL136" s="34">
        <v>31</v>
      </c>
      <c r="BW136" s="34">
        <v>21</v>
      </c>
      <c r="BX136" s="3" t="s">
        <v>364</v>
      </c>
    </row>
    <row r="137" spans="1:76" x14ac:dyDescent="0.25">
      <c r="A137" s="66"/>
      <c r="D137" s="67" t="s">
        <v>365</v>
      </c>
      <c r="E137" s="67" t="s">
        <v>366</v>
      </c>
      <c r="G137" s="68">
        <v>8</v>
      </c>
      <c r="K137" s="59"/>
    </row>
    <row r="138" spans="1:76" x14ac:dyDescent="0.25">
      <c r="A138" s="66"/>
      <c r="D138" s="67" t="s">
        <v>367</v>
      </c>
      <c r="E138" s="67" t="s">
        <v>368</v>
      </c>
      <c r="G138" s="68">
        <v>6</v>
      </c>
      <c r="K138" s="59"/>
    </row>
    <row r="139" spans="1:76" x14ac:dyDescent="0.25">
      <c r="A139" s="1" t="s">
        <v>369</v>
      </c>
      <c r="B139" s="2" t="s">
        <v>84</v>
      </c>
      <c r="C139" s="2" t="s">
        <v>370</v>
      </c>
      <c r="D139" s="86" t="s">
        <v>371</v>
      </c>
      <c r="E139" s="81"/>
      <c r="F139" s="2" t="s">
        <v>258</v>
      </c>
      <c r="G139" s="34">
        <v>4</v>
      </c>
      <c r="H139" s="64">
        <v>0</v>
      </c>
      <c r="I139" s="34">
        <f>ROUND(G139*H139,2)</f>
        <v>0</v>
      </c>
      <c r="J139" s="65" t="s">
        <v>133</v>
      </c>
      <c r="K139" s="59"/>
      <c r="Z139" s="34">
        <f>ROUND(IF(AQ139="5",BJ139,0),2)</f>
        <v>0</v>
      </c>
      <c r="AB139" s="34">
        <f>ROUND(IF(AQ139="1",BH139,0),2)</f>
        <v>0</v>
      </c>
      <c r="AC139" s="34">
        <f>ROUND(IF(AQ139="1",BI139,0),2)</f>
        <v>0</v>
      </c>
      <c r="AD139" s="34">
        <f>ROUND(IF(AQ139="7",BH139,0),2)</f>
        <v>0</v>
      </c>
      <c r="AE139" s="34">
        <f>ROUND(IF(AQ139="7",BI139,0),2)</f>
        <v>0</v>
      </c>
      <c r="AF139" s="34">
        <f>ROUND(IF(AQ139="2",BH139,0),2)</f>
        <v>0</v>
      </c>
      <c r="AG139" s="34">
        <f>ROUND(IF(AQ139="2",BI139,0),2)</f>
        <v>0</v>
      </c>
      <c r="AH139" s="34">
        <f>ROUND(IF(AQ139="0",BJ139,0),2)</f>
        <v>0</v>
      </c>
      <c r="AI139" s="46" t="s">
        <v>84</v>
      </c>
      <c r="AJ139" s="34">
        <f>IF(AN139=0,I139,0)</f>
        <v>0</v>
      </c>
      <c r="AK139" s="34">
        <f>IF(AN139=12,I139,0)</f>
        <v>0</v>
      </c>
      <c r="AL139" s="34">
        <f>IF(AN139=21,I139,0)</f>
        <v>0</v>
      </c>
      <c r="AN139" s="34">
        <v>21</v>
      </c>
      <c r="AO139" s="34">
        <f>H139*0.87704197</f>
        <v>0</v>
      </c>
      <c r="AP139" s="34">
        <f>H139*(1-0.87704197)</f>
        <v>0</v>
      </c>
      <c r="AQ139" s="65" t="s">
        <v>129</v>
      </c>
      <c r="AV139" s="34">
        <f>ROUND(AW139+AX139,2)</f>
        <v>0</v>
      </c>
      <c r="AW139" s="34">
        <f>ROUND(G139*AO139,2)</f>
        <v>0</v>
      </c>
      <c r="AX139" s="34">
        <f>ROUND(G139*AP139,2)</f>
        <v>0</v>
      </c>
      <c r="AY139" s="65" t="s">
        <v>240</v>
      </c>
      <c r="AZ139" s="65" t="s">
        <v>241</v>
      </c>
      <c r="BA139" s="46" t="s">
        <v>136</v>
      </c>
      <c r="BC139" s="34">
        <f>AW139+AX139</f>
        <v>0</v>
      </c>
      <c r="BD139" s="34">
        <f>H139/(100-BE139)*100</f>
        <v>0</v>
      </c>
      <c r="BE139" s="34">
        <v>0</v>
      </c>
      <c r="BF139" s="34">
        <f>139</f>
        <v>139</v>
      </c>
      <c r="BH139" s="34">
        <f>G139*AO139</f>
        <v>0</v>
      </c>
      <c r="BI139" s="34">
        <f>G139*AP139</f>
        <v>0</v>
      </c>
      <c r="BJ139" s="34">
        <f>G139*H139</f>
        <v>0</v>
      </c>
      <c r="BK139" s="34"/>
      <c r="BL139" s="34">
        <v>31</v>
      </c>
      <c r="BW139" s="34">
        <v>21</v>
      </c>
      <c r="BX139" s="3" t="s">
        <v>371</v>
      </c>
    </row>
    <row r="140" spans="1:76" x14ac:dyDescent="0.25">
      <c r="A140" s="66"/>
      <c r="D140" s="67" t="s">
        <v>161</v>
      </c>
      <c r="E140" s="67" t="s">
        <v>345</v>
      </c>
      <c r="G140" s="68">
        <v>4</v>
      </c>
      <c r="K140" s="59"/>
    </row>
    <row r="141" spans="1:76" x14ac:dyDescent="0.25">
      <c r="A141" s="1" t="s">
        <v>372</v>
      </c>
      <c r="B141" s="2" t="s">
        <v>84</v>
      </c>
      <c r="C141" s="2" t="s">
        <v>373</v>
      </c>
      <c r="D141" s="86" t="s">
        <v>374</v>
      </c>
      <c r="E141" s="81"/>
      <c r="F141" s="2" t="s">
        <v>258</v>
      </c>
      <c r="G141" s="34">
        <v>4</v>
      </c>
      <c r="H141" s="64">
        <v>0</v>
      </c>
      <c r="I141" s="34">
        <f>ROUND(G141*H141,2)</f>
        <v>0</v>
      </c>
      <c r="J141" s="65" t="s">
        <v>133</v>
      </c>
      <c r="K141" s="59"/>
      <c r="Z141" s="34">
        <f>ROUND(IF(AQ141="5",BJ141,0),2)</f>
        <v>0</v>
      </c>
      <c r="AB141" s="34">
        <f>ROUND(IF(AQ141="1",BH141,0),2)</f>
        <v>0</v>
      </c>
      <c r="AC141" s="34">
        <f>ROUND(IF(AQ141="1",BI141,0),2)</f>
        <v>0</v>
      </c>
      <c r="AD141" s="34">
        <f>ROUND(IF(AQ141="7",BH141,0),2)</f>
        <v>0</v>
      </c>
      <c r="AE141" s="34">
        <f>ROUND(IF(AQ141="7",BI141,0),2)</f>
        <v>0</v>
      </c>
      <c r="AF141" s="34">
        <f>ROUND(IF(AQ141="2",BH141,0),2)</f>
        <v>0</v>
      </c>
      <c r="AG141" s="34">
        <f>ROUND(IF(AQ141="2",BI141,0),2)</f>
        <v>0</v>
      </c>
      <c r="AH141" s="34">
        <f>ROUND(IF(AQ141="0",BJ141,0),2)</f>
        <v>0</v>
      </c>
      <c r="AI141" s="46" t="s">
        <v>84</v>
      </c>
      <c r="AJ141" s="34">
        <f>IF(AN141=0,I141,0)</f>
        <v>0</v>
      </c>
      <c r="AK141" s="34">
        <f>IF(AN141=12,I141,0)</f>
        <v>0</v>
      </c>
      <c r="AL141" s="34">
        <f>IF(AN141=21,I141,0)</f>
        <v>0</v>
      </c>
      <c r="AN141" s="34">
        <v>21</v>
      </c>
      <c r="AO141" s="34">
        <f>H141*0.8452657</f>
        <v>0</v>
      </c>
      <c r="AP141" s="34">
        <f>H141*(1-0.8452657)</f>
        <v>0</v>
      </c>
      <c r="AQ141" s="65" t="s">
        <v>129</v>
      </c>
      <c r="AV141" s="34">
        <f>ROUND(AW141+AX141,2)</f>
        <v>0</v>
      </c>
      <c r="AW141" s="34">
        <f>ROUND(G141*AO141,2)</f>
        <v>0</v>
      </c>
      <c r="AX141" s="34">
        <f>ROUND(G141*AP141,2)</f>
        <v>0</v>
      </c>
      <c r="AY141" s="65" t="s">
        <v>240</v>
      </c>
      <c r="AZ141" s="65" t="s">
        <v>241</v>
      </c>
      <c r="BA141" s="46" t="s">
        <v>136</v>
      </c>
      <c r="BC141" s="34">
        <f>AW141+AX141</f>
        <v>0</v>
      </c>
      <c r="BD141" s="34">
        <f>H141/(100-BE141)*100</f>
        <v>0</v>
      </c>
      <c r="BE141" s="34">
        <v>0</v>
      </c>
      <c r="BF141" s="34">
        <f>141</f>
        <v>141</v>
      </c>
      <c r="BH141" s="34">
        <f>G141*AO141</f>
        <v>0</v>
      </c>
      <c r="BI141" s="34">
        <f>G141*AP141</f>
        <v>0</v>
      </c>
      <c r="BJ141" s="34">
        <f>G141*H141</f>
        <v>0</v>
      </c>
      <c r="BK141" s="34"/>
      <c r="BL141" s="34">
        <v>31</v>
      </c>
      <c r="BW141" s="34">
        <v>21</v>
      </c>
      <c r="BX141" s="3" t="s">
        <v>374</v>
      </c>
    </row>
    <row r="142" spans="1:76" x14ac:dyDescent="0.25">
      <c r="A142" s="66"/>
      <c r="D142" s="67" t="s">
        <v>161</v>
      </c>
      <c r="E142" s="67" t="s">
        <v>349</v>
      </c>
      <c r="G142" s="68">
        <v>4</v>
      </c>
      <c r="K142" s="59"/>
    </row>
    <row r="143" spans="1:76" x14ac:dyDescent="0.25">
      <c r="A143" s="1" t="s">
        <v>375</v>
      </c>
      <c r="B143" s="2" t="s">
        <v>84</v>
      </c>
      <c r="C143" s="2" t="s">
        <v>376</v>
      </c>
      <c r="D143" s="86" t="s">
        <v>377</v>
      </c>
      <c r="E143" s="81"/>
      <c r="F143" s="2" t="s">
        <v>258</v>
      </c>
      <c r="G143" s="34">
        <v>3</v>
      </c>
      <c r="H143" s="64">
        <v>0</v>
      </c>
      <c r="I143" s="34">
        <f>ROUND(G143*H143,2)</f>
        <v>0</v>
      </c>
      <c r="J143" s="65" t="s">
        <v>133</v>
      </c>
      <c r="K143" s="59"/>
      <c r="Z143" s="34">
        <f>ROUND(IF(AQ143="5",BJ143,0),2)</f>
        <v>0</v>
      </c>
      <c r="AB143" s="34">
        <f>ROUND(IF(AQ143="1",BH143,0),2)</f>
        <v>0</v>
      </c>
      <c r="AC143" s="34">
        <f>ROUND(IF(AQ143="1",BI143,0),2)</f>
        <v>0</v>
      </c>
      <c r="AD143" s="34">
        <f>ROUND(IF(AQ143="7",BH143,0),2)</f>
        <v>0</v>
      </c>
      <c r="AE143" s="34">
        <f>ROUND(IF(AQ143="7",BI143,0),2)</f>
        <v>0</v>
      </c>
      <c r="AF143" s="34">
        <f>ROUND(IF(AQ143="2",BH143,0),2)</f>
        <v>0</v>
      </c>
      <c r="AG143" s="34">
        <f>ROUND(IF(AQ143="2",BI143,0),2)</f>
        <v>0</v>
      </c>
      <c r="AH143" s="34">
        <f>ROUND(IF(AQ143="0",BJ143,0),2)</f>
        <v>0</v>
      </c>
      <c r="AI143" s="46" t="s">
        <v>84</v>
      </c>
      <c r="AJ143" s="34">
        <f>IF(AN143=0,I143,0)</f>
        <v>0</v>
      </c>
      <c r="AK143" s="34">
        <f>IF(AN143=12,I143,0)</f>
        <v>0</v>
      </c>
      <c r="AL143" s="34">
        <f>IF(AN143=21,I143,0)</f>
        <v>0</v>
      </c>
      <c r="AN143" s="34">
        <v>21</v>
      </c>
      <c r="AO143" s="34">
        <f>H143*0.861361188</f>
        <v>0</v>
      </c>
      <c r="AP143" s="34">
        <f>H143*(1-0.861361188)</f>
        <v>0</v>
      </c>
      <c r="AQ143" s="65" t="s">
        <v>129</v>
      </c>
      <c r="AV143" s="34">
        <f>ROUND(AW143+AX143,2)</f>
        <v>0</v>
      </c>
      <c r="AW143" s="34">
        <f>ROUND(G143*AO143,2)</f>
        <v>0</v>
      </c>
      <c r="AX143" s="34">
        <f>ROUND(G143*AP143,2)</f>
        <v>0</v>
      </c>
      <c r="AY143" s="65" t="s">
        <v>240</v>
      </c>
      <c r="AZ143" s="65" t="s">
        <v>241</v>
      </c>
      <c r="BA143" s="46" t="s">
        <v>136</v>
      </c>
      <c r="BC143" s="34">
        <f>AW143+AX143</f>
        <v>0</v>
      </c>
      <c r="BD143" s="34">
        <f>H143/(100-BE143)*100</f>
        <v>0</v>
      </c>
      <c r="BE143" s="34">
        <v>0</v>
      </c>
      <c r="BF143" s="34">
        <f>143</f>
        <v>143</v>
      </c>
      <c r="BH143" s="34">
        <f>G143*AO143</f>
        <v>0</v>
      </c>
      <c r="BI143" s="34">
        <f>G143*AP143</f>
        <v>0</v>
      </c>
      <c r="BJ143" s="34">
        <f>G143*H143</f>
        <v>0</v>
      </c>
      <c r="BK143" s="34"/>
      <c r="BL143" s="34">
        <v>31</v>
      </c>
      <c r="BW143" s="34">
        <v>21</v>
      </c>
      <c r="BX143" s="3" t="s">
        <v>377</v>
      </c>
    </row>
    <row r="144" spans="1:76" x14ac:dyDescent="0.25">
      <c r="A144" s="66"/>
      <c r="D144" s="67" t="s">
        <v>148</v>
      </c>
      <c r="E144" s="67" t="s">
        <v>378</v>
      </c>
      <c r="G144" s="68">
        <v>3</v>
      </c>
      <c r="K144" s="59"/>
    </row>
    <row r="145" spans="1:76" x14ac:dyDescent="0.25">
      <c r="A145" s="1" t="s">
        <v>379</v>
      </c>
      <c r="B145" s="2" t="s">
        <v>84</v>
      </c>
      <c r="C145" s="2" t="s">
        <v>380</v>
      </c>
      <c r="D145" s="86" t="s">
        <v>381</v>
      </c>
      <c r="E145" s="81"/>
      <c r="F145" s="2" t="s">
        <v>258</v>
      </c>
      <c r="G145" s="34">
        <v>3</v>
      </c>
      <c r="H145" s="64">
        <v>0</v>
      </c>
      <c r="I145" s="34">
        <f>ROUND(G145*H145,2)</f>
        <v>0</v>
      </c>
      <c r="J145" s="65" t="s">
        <v>133</v>
      </c>
      <c r="K145" s="59"/>
      <c r="Z145" s="34">
        <f>ROUND(IF(AQ145="5",BJ145,0),2)</f>
        <v>0</v>
      </c>
      <c r="AB145" s="34">
        <f>ROUND(IF(AQ145="1",BH145,0),2)</f>
        <v>0</v>
      </c>
      <c r="AC145" s="34">
        <f>ROUND(IF(AQ145="1",BI145,0),2)</f>
        <v>0</v>
      </c>
      <c r="AD145" s="34">
        <f>ROUND(IF(AQ145="7",BH145,0),2)</f>
        <v>0</v>
      </c>
      <c r="AE145" s="34">
        <f>ROUND(IF(AQ145="7",BI145,0),2)</f>
        <v>0</v>
      </c>
      <c r="AF145" s="34">
        <f>ROUND(IF(AQ145="2",BH145,0),2)</f>
        <v>0</v>
      </c>
      <c r="AG145" s="34">
        <f>ROUND(IF(AQ145="2",BI145,0),2)</f>
        <v>0</v>
      </c>
      <c r="AH145" s="34">
        <f>ROUND(IF(AQ145="0",BJ145,0),2)</f>
        <v>0</v>
      </c>
      <c r="AI145" s="46" t="s">
        <v>84</v>
      </c>
      <c r="AJ145" s="34">
        <f>IF(AN145=0,I145,0)</f>
        <v>0</v>
      </c>
      <c r="AK145" s="34">
        <f>IF(AN145=12,I145,0)</f>
        <v>0</v>
      </c>
      <c r="AL145" s="34">
        <f>IF(AN145=21,I145,0)</f>
        <v>0</v>
      </c>
      <c r="AN145" s="34">
        <v>21</v>
      </c>
      <c r="AO145" s="34">
        <f>H145*0.831900701</f>
        <v>0</v>
      </c>
      <c r="AP145" s="34">
        <f>H145*(1-0.831900701)</f>
        <v>0</v>
      </c>
      <c r="AQ145" s="65" t="s">
        <v>129</v>
      </c>
      <c r="AV145" s="34">
        <f>ROUND(AW145+AX145,2)</f>
        <v>0</v>
      </c>
      <c r="AW145" s="34">
        <f>ROUND(G145*AO145,2)</f>
        <v>0</v>
      </c>
      <c r="AX145" s="34">
        <f>ROUND(G145*AP145,2)</f>
        <v>0</v>
      </c>
      <c r="AY145" s="65" t="s">
        <v>240</v>
      </c>
      <c r="AZ145" s="65" t="s">
        <v>241</v>
      </c>
      <c r="BA145" s="46" t="s">
        <v>136</v>
      </c>
      <c r="BC145" s="34">
        <f>AW145+AX145</f>
        <v>0</v>
      </c>
      <c r="BD145" s="34">
        <f>H145/(100-BE145)*100</f>
        <v>0</v>
      </c>
      <c r="BE145" s="34">
        <v>0</v>
      </c>
      <c r="BF145" s="34">
        <f>145</f>
        <v>145</v>
      </c>
      <c r="BH145" s="34">
        <f>G145*AO145</f>
        <v>0</v>
      </c>
      <c r="BI145" s="34">
        <f>G145*AP145</f>
        <v>0</v>
      </c>
      <c r="BJ145" s="34">
        <f>G145*H145</f>
        <v>0</v>
      </c>
      <c r="BK145" s="34"/>
      <c r="BL145" s="34">
        <v>31</v>
      </c>
      <c r="BW145" s="34">
        <v>21</v>
      </c>
      <c r="BX145" s="3" t="s">
        <v>381</v>
      </c>
    </row>
    <row r="146" spans="1:76" x14ac:dyDescent="0.25">
      <c r="A146" s="66"/>
      <c r="D146" s="67" t="s">
        <v>148</v>
      </c>
      <c r="E146" s="67" t="s">
        <v>382</v>
      </c>
      <c r="G146" s="68">
        <v>3</v>
      </c>
      <c r="K146" s="59"/>
    </row>
    <row r="147" spans="1:76" x14ac:dyDescent="0.25">
      <c r="A147" s="1" t="s">
        <v>383</v>
      </c>
      <c r="B147" s="2" t="s">
        <v>84</v>
      </c>
      <c r="C147" s="2" t="s">
        <v>384</v>
      </c>
      <c r="D147" s="86" t="s">
        <v>385</v>
      </c>
      <c r="E147" s="81"/>
      <c r="F147" s="2" t="s">
        <v>258</v>
      </c>
      <c r="G147" s="34">
        <v>7</v>
      </c>
      <c r="H147" s="64">
        <v>0</v>
      </c>
      <c r="I147" s="34">
        <f>ROUND(G147*H147,2)</f>
        <v>0</v>
      </c>
      <c r="J147" s="65" t="s">
        <v>133</v>
      </c>
      <c r="K147" s="59"/>
      <c r="Z147" s="34">
        <f>ROUND(IF(AQ147="5",BJ147,0),2)</f>
        <v>0</v>
      </c>
      <c r="AB147" s="34">
        <f>ROUND(IF(AQ147="1",BH147,0),2)</f>
        <v>0</v>
      </c>
      <c r="AC147" s="34">
        <f>ROUND(IF(AQ147="1",BI147,0),2)</f>
        <v>0</v>
      </c>
      <c r="AD147" s="34">
        <f>ROUND(IF(AQ147="7",BH147,0),2)</f>
        <v>0</v>
      </c>
      <c r="AE147" s="34">
        <f>ROUND(IF(AQ147="7",BI147,0),2)</f>
        <v>0</v>
      </c>
      <c r="AF147" s="34">
        <f>ROUND(IF(AQ147="2",BH147,0),2)</f>
        <v>0</v>
      </c>
      <c r="AG147" s="34">
        <f>ROUND(IF(AQ147="2",BI147,0),2)</f>
        <v>0</v>
      </c>
      <c r="AH147" s="34">
        <f>ROUND(IF(AQ147="0",BJ147,0),2)</f>
        <v>0</v>
      </c>
      <c r="AI147" s="46" t="s">
        <v>84</v>
      </c>
      <c r="AJ147" s="34">
        <f>IF(AN147=0,I147,0)</f>
        <v>0</v>
      </c>
      <c r="AK147" s="34">
        <f>IF(AN147=12,I147,0)</f>
        <v>0</v>
      </c>
      <c r="AL147" s="34">
        <f>IF(AN147=21,I147,0)</f>
        <v>0</v>
      </c>
      <c r="AN147" s="34">
        <v>21</v>
      </c>
      <c r="AO147" s="34">
        <f>H147*0.807979405</f>
        <v>0</v>
      </c>
      <c r="AP147" s="34">
        <f>H147*(1-0.807979405)</f>
        <v>0</v>
      </c>
      <c r="AQ147" s="65" t="s">
        <v>129</v>
      </c>
      <c r="AV147" s="34">
        <f>ROUND(AW147+AX147,2)</f>
        <v>0</v>
      </c>
      <c r="AW147" s="34">
        <f>ROUND(G147*AO147,2)</f>
        <v>0</v>
      </c>
      <c r="AX147" s="34">
        <f>ROUND(G147*AP147,2)</f>
        <v>0</v>
      </c>
      <c r="AY147" s="65" t="s">
        <v>240</v>
      </c>
      <c r="AZ147" s="65" t="s">
        <v>241</v>
      </c>
      <c r="BA147" s="46" t="s">
        <v>136</v>
      </c>
      <c r="BC147" s="34">
        <f>AW147+AX147</f>
        <v>0</v>
      </c>
      <c r="BD147" s="34">
        <f>H147/(100-BE147)*100</f>
        <v>0</v>
      </c>
      <c r="BE147" s="34">
        <v>0</v>
      </c>
      <c r="BF147" s="34">
        <f>147</f>
        <v>147</v>
      </c>
      <c r="BH147" s="34">
        <f>G147*AO147</f>
        <v>0</v>
      </c>
      <c r="BI147" s="34">
        <f>G147*AP147</f>
        <v>0</v>
      </c>
      <c r="BJ147" s="34">
        <f>G147*H147</f>
        <v>0</v>
      </c>
      <c r="BK147" s="34"/>
      <c r="BL147" s="34">
        <v>31</v>
      </c>
      <c r="BW147" s="34">
        <v>21</v>
      </c>
      <c r="BX147" s="3" t="s">
        <v>385</v>
      </c>
    </row>
    <row r="148" spans="1:76" x14ac:dyDescent="0.25">
      <c r="A148" s="66"/>
      <c r="D148" s="67" t="s">
        <v>175</v>
      </c>
      <c r="E148" s="67" t="s">
        <v>386</v>
      </c>
      <c r="G148" s="68">
        <v>7</v>
      </c>
      <c r="K148" s="59"/>
    </row>
    <row r="149" spans="1:76" x14ac:dyDescent="0.25">
      <c r="A149" s="1" t="s">
        <v>387</v>
      </c>
      <c r="B149" s="2" t="s">
        <v>84</v>
      </c>
      <c r="C149" s="2" t="s">
        <v>388</v>
      </c>
      <c r="D149" s="86" t="s">
        <v>389</v>
      </c>
      <c r="E149" s="81"/>
      <c r="F149" s="2" t="s">
        <v>258</v>
      </c>
      <c r="G149" s="34">
        <v>3</v>
      </c>
      <c r="H149" s="64">
        <v>0</v>
      </c>
      <c r="I149" s="34">
        <f>ROUND(G149*H149,2)</f>
        <v>0</v>
      </c>
      <c r="J149" s="65" t="s">
        <v>133</v>
      </c>
      <c r="K149" s="59"/>
      <c r="Z149" s="34">
        <f>ROUND(IF(AQ149="5",BJ149,0),2)</f>
        <v>0</v>
      </c>
      <c r="AB149" s="34">
        <f>ROUND(IF(AQ149="1",BH149,0),2)</f>
        <v>0</v>
      </c>
      <c r="AC149" s="34">
        <f>ROUND(IF(AQ149="1",BI149,0),2)</f>
        <v>0</v>
      </c>
      <c r="AD149" s="34">
        <f>ROUND(IF(AQ149="7",BH149,0),2)</f>
        <v>0</v>
      </c>
      <c r="AE149" s="34">
        <f>ROUND(IF(AQ149="7",BI149,0),2)</f>
        <v>0</v>
      </c>
      <c r="AF149" s="34">
        <f>ROUND(IF(AQ149="2",BH149,0),2)</f>
        <v>0</v>
      </c>
      <c r="AG149" s="34">
        <f>ROUND(IF(AQ149="2",BI149,0),2)</f>
        <v>0</v>
      </c>
      <c r="AH149" s="34">
        <f>ROUND(IF(AQ149="0",BJ149,0),2)</f>
        <v>0</v>
      </c>
      <c r="AI149" s="46" t="s">
        <v>84</v>
      </c>
      <c r="AJ149" s="34">
        <f>IF(AN149=0,I149,0)</f>
        <v>0</v>
      </c>
      <c r="AK149" s="34">
        <f>IF(AN149=12,I149,0)</f>
        <v>0</v>
      </c>
      <c r="AL149" s="34">
        <f>IF(AN149=21,I149,0)</f>
        <v>0</v>
      </c>
      <c r="AN149" s="34">
        <v>21</v>
      </c>
      <c r="AO149" s="34">
        <f>H149*0.879091419</f>
        <v>0</v>
      </c>
      <c r="AP149" s="34">
        <f>H149*(1-0.879091419)</f>
        <v>0</v>
      </c>
      <c r="AQ149" s="65" t="s">
        <v>129</v>
      </c>
      <c r="AV149" s="34">
        <f>ROUND(AW149+AX149,2)</f>
        <v>0</v>
      </c>
      <c r="AW149" s="34">
        <f>ROUND(G149*AO149,2)</f>
        <v>0</v>
      </c>
      <c r="AX149" s="34">
        <f>ROUND(G149*AP149,2)</f>
        <v>0</v>
      </c>
      <c r="AY149" s="65" t="s">
        <v>240</v>
      </c>
      <c r="AZ149" s="65" t="s">
        <v>241</v>
      </c>
      <c r="BA149" s="46" t="s">
        <v>136</v>
      </c>
      <c r="BC149" s="34">
        <f>AW149+AX149</f>
        <v>0</v>
      </c>
      <c r="BD149" s="34">
        <f>H149/(100-BE149)*100</f>
        <v>0</v>
      </c>
      <c r="BE149" s="34">
        <v>0</v>
      </c>
      <c r="BF149" s="34">
        <f>149</f>
        <v>149</v>
      </c>
      <c r="BH149" s="34">
        <f>G149*AO149</f>
        <v>0</v>
      </c>
      <c r="BI149" s="34">
        <f>G149*AP149</f>
        <v>0</v>
      </c>
      <c r="BJ149" s="34">
        <f>G149*H149</f>
        <v>0</v>
      </c>
      <c r="BK149" s="34"/>
      <c r="BL149" s="34">
        <v>31</v>
      </c>
      <c r="BW149" s="34">
        <v>21</v>
      </c>
      <c r="BX149" s="3" t="s">
        <v>389</v>
      </c>
    </row>
    <row r="150" spans="1:76" x14ac:dyDescent="0.25">
      <c r="A150" s="66"/>
      <c r="D150" s="67" t="s">
        <v>148</v>
      </c>
      <c r="E150" s="67" t="s">
        <v>390</v>
      </c>
      <c r="G150" s="68">
        <v>3</v>
      </c>
      <c r="K150" s="59"/>
    </row>
    <row r="151" spans="1:76" x14ac:dyDescent="0.25">
      <c r="A151" s="1" t="s">
        <v>391</v>
      </c>
      <c r="B151" s="2" t="s">
        <v>84</v>
      </c>
      <c r="C151" s="2" t="s">
        <v>392</v>
      </c>
      <c r="D151" s="86" t="s">
        <v>393</v>
      </c>
      <c r="E151" s="81"/>
      <c r="F151" s="2" t="s">
        <v>258</v>
      </c>
      <c r="G151" s="34">
        <v>1</v>
      </c>
      <c r="H151" s="64">
        <v>0</v>
      </c>
      <c r="I151" s="34">
        <f>ROUND(G151*H151,2)</f>
        <v>0</v>
      </c>
      <c r="J151" s="65" t="s">
        <v>133</v>
      </c>
      <c r="K151" s="59"/>
      <c r="Z151" s="34">
        <f>ROUND(IF(AQ151="5",BJ151,0),2)</f>
        <v>0</v>
      </c>
      <c r="AB151" s="34">
        <f>ROUND(IF(AQ151="1",BH151,0),2)</f>
        <v>0</v>
      </c>
      <c r="AC151" s="34">
        <f>ROUND(IF(AQ151="1",BI151,0),2)</f>
        <v>0</v>
      </c>
      <c r="AD151" s="34">
        <f>ROUND(IF(AQ151="7",BH151,0),2)</f>
        <v>0</v>
      </c>
      <c r="AE151" s="34">
        <f>ROUND(IF(AQ151="7",BI151,0),2)</f>
        <v>0</v>
      </c>
      <c r="AF151" s="34">
        <f>ROUND(IF(AQ151="2",BH151,0),2)</f>
        <v>0</v>
      </c>
      <c r="AG151" s="34">
        <f>ROUND(IF(AQ151="2",BI151,0),2)</f>
        <v>0</v>
      </c>
      <c r="AH151" s="34">
        <f>ROUND(IF(AQ151="0",BJ151,0),2)</f>
        <v>0</v>
      </c>
      <c r="AI151" s="46" t="s">
        <v>84</v>
      </c>
      <c r="AJ151" s="34">
        <f>IF(AN151=0,I151,0)</f>
        <v>0</v>
      </c>
      <c r="AK151" s="34">
        <f>IF(AN151=12,I151,0)</f>
        <v>0</v>
      </c>
      <c r="AL151" s="34">
        <f>IF(AN151=21,I151,0)</f>
        <v>0</v>
      </c>
      <c r="AN151" s="34">
        <v>21</v>
      </c>
      <c r="AO151" s="34">
        <f>H151*0.836888317</f>
        <v>0</v>
      </c>
      <c r="AP151" s="34">
        <f>H151*(1-0.836888317)</f>
        <v>0</v>
      </c>
      <c r="AQ151" s="65" t="s">
        <v>129</v>
      </c>
      <c r="AV151" s="34">
        <f>ROUND(AW151+AX151,2)</f>
        <v>0</v>
      </c>
      <c r="AW151" s="34">
        <f>ROUND(G151*AO151,2)</f>
        <v>0</v>
      </c>
      <c r="AX151" s="34">
        <f>ROUND(G151*AP151,2)</f>
        <v>0</v>
      </c>
      <c r="AY151" s="65" t="s">
        <v>240</v>
      </c>
      <c r="AZ151" s="65" t="s">
        <v>241</v>
      </c>
      <c r="BA151" s="46" t="s">
        <v>136</v>
      </c>
      <c r="BC151" s="34">
        <f>AW151+AX151</f>
        <v>0</v>
      </c>
      <c r="BD151" s="34">
        <f>H151/(100-BE151)*100</f>
        <v>0</v>
      </c>
      <c r="BE151" s="34">
        <v>0</v>
      </c>
      <c r="BF151" s="34">
        <f>151</f>
        <v>151</v>
      </c>
      <c r="BH151" s="34">
        <f>G151*AO151</f>
        <v>0</v>
      </c>
      <c r="BI151" s="34">
        <f>G151*AP151</f>
        <v>0</v>
      </c>
      <c r="BJ151" s="34">
        <f>G151*H151</f>
        <v>0</v>
      </c>
      <c r="BK151" s="34"/>
      <c r="BL151" s="34">
        <v>31</v>
      </c>
      <c r="BW151" s="34">
        <v>21</v>
      </c>
      <c r="BX151" s="3" t="s">
        <v>393</v>
      </c>
    </row>
    <row r="152" spans="1:76" x14ac:dyDescent="0.25">
      <c r="A152" s="66"/>
      <c r="D152" s="67" t="s">
        <v>129</v>
      </c>
      <c r="E152" s="67" t="s">
        <v>394</v>
      </c>
      <c r="G152" s="68">
        <v>1</v>
      </c>
      <c r="K152" s="59"/>
    </row>
    <row r="153" spans="1:76" x14ac:dyDescent="0.25">
      <c r="A153" s="1" t="s">
        <v>395</v>
      </c>
      <c r="B153" s="2" t="s">
        <v>84</v>
      </c>
      <c r="C153" s="2" t="s">
        <v>396</v>
      </c>
      <c r="D153" s="86" t="s">
        <v>397</v>
      </c>
      <c r="E153" s="81"/>
      <c r="F153" s="2" t="s">
        <v>258</v>
      </c>
      <c r="G153" s="34">
        <v>14</v>
      </c>
      <c r="H153" s="64">
        <v>0</v>
      </c>
      <c r="I153" s="34">
        <f>ROUND(G153*H153,2)</f>
        <v>0</v>
      </c>
      <c r="J153" s="65" t="s">
        <v>398</v>
      </c>
      <c r="K153" s="59"/>
      <c r="Z153" s="34">
        <f>ROUND(IF(AQ153="5",BJ153,0),2)</f>
        <v>0</v>
      </c>
      <c r="AB153" s="34">
        <f>ROUND(IF(AQ153="1",BH153,0),2)</f>
        <v>0</v>
      </c>
      <c r="AC153" s="34">
        <f>ROUND(IF(AQ153="1",BI153,0),2)</f>
        <v>0</v>
      </c>
      <c r="AD153" s="34">
        <f>ROUND(IF(AQ153="7",BH153,0),2)</f>
        <v>0</v>
      </c>
      <c r="AE153" s="34">
        <f>ROUND(IF(AQ153="7",BI153,0),2)</f>
        <v>0</v>
      </c>
      <c r="AF153" s="34">
        <f>ROUND(IF(AQ153="2",BH153,0),2)</f>
        <v>0</v>
      </c>
      <c r="AG153" s="34">
        <f>ROUND(IF(AQ153="2",BI153,0),2)</f>
        <v>0</v>
      </c>
      <c r="AH153" s="34">
        <f>ROUND(IF(AQ153="0",BJ153,0),2)</f>
        <v>0</v>
      </c>
      <c r="AI153" s="46" t="s">
        <v>84</v>
      </c>
      <c r="AJ153" s="34">
        <f>IF(AN153=0,I153,0)</f>
        <v>0</v>
      </c>
      <c r="AK153" s="34">
        <f>IF(AN153=12,I153,0)</f>
        <v>0</v>
      </c>
      <c r="AL153" s="34">
        <f>IF(AN153=21,I153,0)</f>
        <v>0</v>
      </c>
      <c r="AN153" s="34">
        <v>21</v>
      </c>
      <c r="AO153" s="34">
        <f>H153*0.564270033</f>
        <v>0</v>
      </c>
      <c r="AP153" s="34">
        <f>H153*(1-0.564270033)</f>
        <v>0</v>
      </c>
      <c r="AQ153" s="65" t="s">
        <v>129</v>
      </c>
      <c r="AV153" s="34">
        <f>ROUND(AW153+AX153,2)</f>
        <v>0</v>
      </c>
      <c r="AW153" s="34">
        <f>ROUND(G153*AO153,2)</f>
        <v>0</v>
      </c>
      <c r="AX153" s="34">
        <f>ROUND(G153*AP153,2)</f>
        <v>0</v>
      </c>
      <c r="AY153" s="65" t="s">
        <v>240</v>
      </c>
      <c r="AZ153" s="65" t="s">
        <v>241</v>
      </c>
      <c r="BA153" s="46" t="s">
        <v>136</v>
      </c>
      <c r="BC153" s="34">
        <f>AW153+AX153</f>
        <v>0</v>
      </c>
      <c r="BD153" s="34">
        <f>H153/(100-BE153)*100</f>
        <v>0</v>
      </c>
      <c r="BE153" s="34">
        <v>0</v>
      </c>
      <c r="BF153" s="34">
        <f>153</f>
        <v>153</v>
      </c>
      <c r="BH153" s="34">
        <f>G153*AO153</f>
        <v>0</v>
      </c>
      <c r="BI153" s="34">
        <f>G153*AP153</f>
        <v>0</v>
      </c>
      <c r="BJ153" s="34">
        <f>G153*H153</f>
        <v>0</v>
      </c>
      <c r="BK153" s="34"/>
      <c r="BL153" s="34">
        <v>31</v>
      </c>
      <c r="BW153" s="34">
        <v>21</v>
      </c>
      <c r="BX153" s="3" t="s">
        <v>397</v>
      </c>
    </row>
    <row r="154" spans="1:76" ht="13.5" customHeight="1" x14ac:dyDescent="0.25">
      <c r="A154" s="66"/>
      <c r="C154" s="69" t="s">
        <v>204</v>
      </c>
      <c r="D154" s="169" t="s">
        <v>399</v>
      </c>
      <c r="E154" s="170"/>
      <c r="F154" s="170"/>
      <c r="G154" s="170"/>
      <c r="H154" s="171"/>
      <c r="I154" s="170"/>
      <c r="J154" s="170"/>
      <c r="K154" s="172"/>
    </row>
    <row r="155" spans="1:76" x14ac:dyDescent="0.25">
      <c r="A155" s="66"/>
      <c r="D155" s="67" t="s">
        <v>229</v>
      </c>
      <c r="E155" s="67" t="s">
        <v>400</v>
      </c>
      <c r="G155" s="68">
        <v>14</v>
      </c>
      <c r="K155" s="59"/>
    </row>
    <row r="156" spans="1:76" x14ac:dyDescent="0.25">
      <c r="A156" s="60" t="s">
        <v>4</v>
      </c>
      <c r="B156" s="61" t="s">
        <v>84</v>
      </c>
      <c r="C156" s="61" t="s">
        <v>372</v>
      </c>
      <c r="D156" s="167" t="s">
        <v>401</v>
      </c>
      <c r="E156" s="168"/>
      <c r="F156" s="62" t="s">
        <v>79</v>
      </c>
      <c r="G156" s="62" t="s">
        <v>79</v>
      </c>
      <c r="H156" s="63" t="s">
        <v>79</v>
      </c>
      <c r="I156" s="39">
        <f>SUM(I157:I216)</f>
        <v>0</v>
      </c>
      <c r="J156" s="46" t="s">
        <v>4</v>
      </c>
      <c r="K156" s="59"/>
      <c r="AI156" s="46" t="s">
        <v>84</v>
      </c>
      <c r="AS156" s="39">
        <f>SUM(AJ157:AJ216)</f>
        <v>0</v>
      </c>
      <c r="AT156" s="39">
        <f>SUM(AK157:AK216)</f>
        <v>0</v>
      </c>
      <c r="AU156" s="39">
        <f>SUM(AL157:AL216)</f>
        <v>0</v>
      </c>
    </row>
    <row r="157" spans="1:76" x14ac:dyDescent="0.25">
      <c r="A157" s="1" t="s">
        <v>402</v>
      </c>
      <c r="B157" s="2" t="s">
        <v>84</v>
      </c>
      <c r="C157" s="2" t="s">
        <v>403</v>
      </c>
      <c r="D157" s="86" t="s">
        <v>404</v>
      </c>
      <c r="E157" s="81"/>
      <c r="F157" s="2" t="s">
        <v>132</v>
      </c>
      <c r="G157" s="34">
        <v>1.95</v>
      </c>
      <c r="H157" s="64">
        <v>0</v>
      </c>
      <c r="I157" s="34">
        <f>ROUND(G157*H157,2)</f>
        <v>0</v>
      </c>
      <c r="J157" s="65" t="s">
        <v>133</v>
      </c>
      <c r="K157" s="59"/>
      <c r="Z157" s="34">
        <f>ROUND(IF(AQ157="5",BJ157,0),2)</f>
        <v>0</v>
      </c>
      <c r="AB157" s="34">
        <f>ROUND(IF(AQ157="1",BH157,0),2)</f>
        <v>0</v>
      </c>
      <c r="AC157" s="34">
        <f>ROUND(IF(AQ157="1",BI157,0),2)</f>
        <v>0</v>
      </c>
      <c r="AD157" s="34">
        <f>ROUND(IF(AQ157="7",BH157,0),2)</f>
        <v>0</v>
      </c>
      <c r="AE157" s="34">
        <f>ROUND(IF(AQ157="7",BI157,0),2)</f>
        <v>0</v>
      </c>
      <c r="AF157" s="34">
        <f>ROUND(IF(AQ157="2",BH157,0),2)</f>
        <v>0</v>
      </c>
      <c r="AG157" s="34">
        <f>ROUND(IF(AQ157="2",BI157,0),2)</f>
        <v>0</v>
      </c>
      <c r="AH157" s="34">
        <f>ROUND(IF(AQ157="0",BJ157,0),2)</f>
        <v>0</v>
      </c>
      <c r="AI157" s="46" t="s">
        <v>84</v>
      </c>
      <c r="AJ157" s="34">
        <f>IF(AN157=0,I157,0)</f>
        <v>0</v>
      </c>
      <c r="AK157" s="34">
        <f>IF(AN157=12,I157,0)</f>
        <v>0</v>
      </c>
      <c r="AL157" s="34">
        <f>IF(AN157=21,I157,0)</f>
        <v>0</v>
      </c>
      <c r="AN157" s="34">
        <v>21</v>
      </c>
      <c r="AO157" s="34">
        <f>H157*0.524578452</f>
        <v>0</v>
      </c>
      <c r="AP157" s="34">
        <f>H157*(1-0.524578452)</f>
        <v>0</v>
      </c>
      <c r="AQ157" s="65" t="s">
        <v>129</v>
      </c>
      <c r="AV157" s="34">
        <f>ROUND(AW157+AX157,2)</f>
        <v>0</v>
      </c>
      <c r="AW157" s="34">
        <f>ROUND(G157*AO157,2)</f>
        <v>0</v>
      </c>
      <c r="AX157" s="34">
        <f>ROUND(G157*AP157,2)</f>
        <v>0</v>
      </c>
      <c r="AY157" s="65" t="s">
        <v>405</v>
      </c>
      <c r="AZ157" s="65" t="s">
        <v>241</v>
      </c>
      <c r="BA157" s="46" t="s">
        <v>136</v>
      </c>
      <c r="BC157" s="34">
        <f>AW157+AX157</f>
        <v>0</v>
      </c>
      <c r="BD157" s="34">
        <f>H157/(100-BE157)*100</f>
        <v>0</v>
      </c>
      <c r="BE157" s="34">
        <v>0</v>
      </c>
      <c r="BF157" s="34">
        <f>157</f>
        <v>157</v>
      </c>
      <c r="BH157" s="34">
        <f>G157*AO157</f>
        <v>0</v>
      </c>
      <c r="BI157" s="34">
        <f>G157*AP157</f>
        <v>0</v>
      </c>
      <c r="BJ157" s="34">
        <f>G157*H157</f>
        <v>0</v>
      </c>
      <c r="BK157" s="34"/>
      <c r="BL157" s="34">
        <v>34</v>
      </c>
      <c r="BW157" s="34">
        <v>21</v>
      </c>
      <c r="BX157" s="3" t="s">
        <v>404</v>
      </c>
    </row>
    <row r="158" spans="1:76" x14ac:dyDescent="0.25">
      <c r="A158" s="66"/>
      <c r="D158" s="67" t="s">
        <v>406</v>
      </c>
      <c r="E158" s="67" t="s">
        <v>407</v>
      </c>
      <c r="G158" s="68">
        <v>1.95</v>
      </c>
      <c r="K158" s="59"/>
    </row>
    <row r="159" spans="1:76" x14ac:dyDescent="0.25">
      <c r="A159" s="1" t="s">
        <v>408</v>
      </c>
      <c r="B159" s="2" t="s">
        <v>84</v>
      </c>
      <c r="C159" s="2" t="s">
        <v>409</v>
      </c>
      <c r="D159" s="86" t="s">
        <v>410</v>
      </c>
      <c r="E159" s="81"/>
      <c r="F159" s="2" t="s">
        <v>132</v>
      </c>
      <c r="G159" s="34">
        <v>11.05</v>
      </c>
      <c r="H159" s="64">
        <v>0</v>
      </c>
      <c r="I159" s="34">
        <f>ROUND(G159*H159,2)</f>
        <v>0</v>
      </c>
      <c r="J159" s="65" t="s">
        <v>133</v>
      </c>
      <c r="K159" s="59"/>
      <c r="Z159" s="34">
        <f>ROUND(IF(AQ159="5",BJ159,0),2)</f>
        <v>0</v>
      </c>
      <c r="AB159" s="34">
        <f>ROUND(IF(AQ159="1",BH159,0),2)</f>
        <v>0</v>
      </c>
      <c r="AC159" s="34">
        <f>ROUND(IF(AQ159="1",BI159,0),2)</f>
        <v>0</v>
      </c>
      <c r="AD159" s="34">
        <f>ROUND(IF(AQ159="7",BH159,0),2)</f>
        <v>0</v>
      </c>
      <c r="AE159" s="34">
        <f>ROUND(IF(AQ159="7",BI159,0),2)</f>
        <v>0</v>
      </c>
      <c r="AF159" s="34">
        <f>ROUND(IF(AQ159="2",BH159,0),2)</f>
        <v>0</v>
      </c>
      <c r="AG159" s="34">
        <f>ROUND(IF(AQ159="2",BI159,0),2)</f>
        <v>0</v>
      </c>
      <c r="AH159" s="34">
        <f>ROUND(IF(AQ159="0",BJ159,0),2)</f>
        <v>0</v>
      </c>
      <c r="AI159" s="46" t="s">
        <v>84</v>
      </c>
      <c r="AJ159" s="34">
        <f>IF(AN159=0,I159,0)</f>
        <v>0</v>
      </c>
      <c r="AK159" s="34">
        <f>IF(AN159=12,I159,0)</f>
        <v>0</v>
      </c>
      <c r="AL159" s="34">
        <f>IF(AN159=21,I159,0)</f>
        <v>0</v>
      </c>
      <c r="AN159" s="34">
        <v>21</v>
      </c>
      <c r="AO159" s="34">
        <f>H159*0.581424046</f>
        <v>0</v>
      </c>
      <c r="AP159" s="34">
        <f>H159*(1-0.581424046)</f>
        <v>0</v>
      </c>
      <c r="AQ159" s="65" t="s">
        <v>129</v>
      </c>
      <c r="AV159" s="34">
        <f>ROUND(AW159+AX159,2)</f>
        <v>0</v>
      </c>
      <c r="AW159" s="34">
        <f>ROUND(G159*AO159,2)</f>
        <v>0</v>
      </c>
      <c r="AX159" s="34">
        <f>ROUND(G159*AP159,2)</f>
        <v>0</v>
      </c>
      <c r="AY159" s="65" t="s">
        <v>405</v>
      </c>
      <c r="AZ159" s="65" t="s">
        <v>241</v>
      </c>
      <c r="BA159" s="46" t="s">
        <v>136</v>
      </c>
      <c r="BC159" s="34">
        <f>AW159+AX159</f>
        <v>0</v>
      </c>
      <c r="BD159" s="34">
        <f>H159/(100-BE159)*100</f>
        <v>0</v>
      </c>
      <c r="BE159" s="34">
        <v>0</v>
      </c>
      <c r="BF159" s="34">
        <f>159</f>
        <v>159</v>
      </c>
      <c r="BH159" s="34">
        <f>G159*AO159</f>
        <v>0</v>
      </c>
      <c r="BI159" s="34">
        <f>G159*AP159</f>
        <v>0</v>
      </c>
      <c r="BJ159" s="34">
        <f>G159*H159</f>
        <v>0</v>
      </c>
      <c r="BK159" s="34"/>
      <c r="BL159" s="34">
        <v>34</v>
      </c>
      <c r="BW159" s="34">
        <v>21</v>
      </c>
      <c r="BX159" s="3" t="s">
        <v>410</v>
      </c>
    </row>
    <row r="160" spans="1:76" x14ac:dyDescent="0.25">
      <c r="A160" s="66"/>
      <c r="D160" s="67" t="s">
        <v>411</v>
      </c>
      <c r="E160" s="67" t="s">
        <v>412</v>
      </c>
      <c r="G160" s="68">
        <v>5.85</v>
      </c>
      <c r="K160" s="59"/>
    </row>
    <row r="161" spans="1:76" x14ac:dyDescent="0.25">
      <c r="A161" s="66"/>
      <c r="D161" s="67" t="s">
        <v>413</v>
      </c>
      <c r="E161" s="67" t="s">
        <v>414</v>
      </c>
      <c r="G161" s="68">
        <v>5.2</v>
      </c>
      <c r="K161" s="59"/>
    </row>
    <row r="162" spans="1:76" x14ac:dyDescent="0.25">
      <c r="A162" s="1" t="s">
        <v>415</v>
      </c>
      <c r="B162" s="2" t="s">
        <v>84</v>
      </c>
      <c r="C162" s="2" t="s">
        <v>416</v>
      </c>
      <c r="D162" s="86" t="s">
        <v>417</v>
      </c>
      <c r="E162" s="81"/>
      <c r="F162" s="2" t="s">
        <v>132</v>
      </c>
      <c r="G162" s="34">
        <v>170.58750000000001</v>
      </c>
      <c r="H162" s="64">
        <v>0</v>
      </c>
      <c r="I162" s="34">
        <f>ROUND(G162*H162,2)</f>
        <v>0</v>
      </c>
      <c r="J162" s="65" t="s">
        <v>133</v>
      </c>
      <c r="K162" s="59"/>
      <c r="Z162" s="34">
        <f>ROUND(IF(AQ162="5",BJ162,0),2)</f>
        <v>0</v>
      </c>
      <c r="AB162" s="34">
        <f>ROUND(IF(AQ162="1",BH162,0),2)</f>
        <v>0</v>
      </c>
      <c r="AC162" s="34">
        <f>ROUND(IF(AQ162="1",BI162,0),2)</f>
        <v>0</v>
      </c>
      <c r="AD162" s="34">
        <f>ROUND(IF(AQ162="7",BH162,0),2)</f>
        <v>0</v>
      </c>
      <c r="AE162" s="34">
        <f>ROUND(IF(AQ162="7",BI162,0),2)</f>
        <v>0</v>
      </c>
      <c r="AF162" s="34">
        <f>ROUND(IF(AQ162="2",BH162,0),2)</f>
        <v>0</v>
      </c>
      <c r="AG162" s="34">
        <f>ROUND(IF(AQ162="2",BI162,0),2)</f>
        <v>0</v>
      </c>
      <c r="AH162" s="34">
        <f>ROUND(IF(AQ162="0",BJ162,0),2)</f>
        <v>0</v>
      </c>
      <c r="AI162" s="46" t="s">
        <v>84</v>
      </c>
      <c r="AJ162" s="34">
        <f>IF(AN162=0,I162,0)</f>
        <v>0</v>
      </c>
      <c r="AK162" s="34">
        <f>IF(AN162=12,I162,0)</f>
        <v>0</v>
      </c>
      <c r="AL162" s="34">
        <f>IF(AN162=21,I162,0)</f>
        <v>0</v>
      </c>
      <c r="AN162" s="34">
        <v>21</v>
      </c>
      <c r="AO162" s="34">
        <f>H162*0.631233381</f>
        <v>0</v>
      </c>
      <c r="AP162" s="34">
        <f>H162*(1-0.631233381)</f>
        <v>0</v>
      </c>
      <c r="AQ162" s="65" t="s">
        <v>129</v>
      </c>
      <c r="AV162" s="34">
        <f>ROUND(AW162+AX162,2)</f>
        <v>0</v>
      </c>
      <c r="AW162" s="34">
        <f>ROUND(G162*AO162,2)</f>
        <v>0</v>
      </c>
      <c r="AX162" s="34">
        <f>ROUND(G162*AP162,2)</f>
        <v>0</v>
      </c>
      <c r="AY162" s="65" t="s">
        <v>405</v>
      </c>
      <c r="AZ162" s="65" t="s">
        <v>241</v>
      </c>
      <c r="BA162" s="46" t="s">
        <v>136</v>
      </c>
      <c r="BC162" s="34">
        <f>AW162+AX162</f>
        <v>0</v>
      </c>
      <c r="BD162" s="34">
        <f>H162/(100-BE162)*100</f>
        <v>0</v>
      </c>
      <c r="BE162" s="34">
        <v>0</v>
      </c>
      <c r="BF162" s="34">
        <f>162</f>
        <v>162</v>
      </c>
      <c r="BH162" s="34">
        <f>G162*AO162</f>
        <v>0</v>
      </c>
      <c r="BI162" s="34">
        <f>G162*AP162</f>
        <v>0</v>
      </c>
      <c r="BJ162" s="34">
        <f>G162*H162</f>
        <v>0</v>
      </c>
      <c r="BK162" s="34"/>
      <c r="BL162" s="34">
        <v>34</v>
      </c>
      <c r="BW162" s="34">
        <v>21</v>
      </c>
      <c r="BX162" s="3" t="s">
        <v>417</v>
      </c>
    </row>
    <row r="163" spans="1:76" ht="13.5" customHeight="1" x14ac:dyDescent="0.25">
      <c r="A163" s="66"/>
      <c r="C163" s="69" t="s">
        <v>204</v>
      </c>
      <c r="D163" s="169" t="s">
        <v>418</v>
      </c>
      <c r="E163" s="170"/>
      <c r="F163" s="170"/>
      <c r="G163" s="170"/>
      <c r="H163" s="171"/>
      <c r="I163" s="170"/>
      <c r="J163" s="170"/>
      <c r="K163" s="172"/>
    </row>
    <row r="164" spans="1:76" x14ac:dyDescent="0.25">
      <c r="A164" s="66"/>
      <c r="D164" s="67" t="s">
        <v>419</v>
      </c>
      <c r="E164" s="67" t="s">
        <v>420</v>
      </c>
      <c r="G164" s="68">
        <v>12.54</v>
      </c>
      <c r="K164" s="59"/>
    </row>
    <row r="165" spans="1:76" x14ac:dyDescent="0.25">
      <c r="A165" s="66"/>
      <c r="D165" s="67" t="s">
        <v>421</v>
      </c>
      <c r="E165" s="67" t="s">
        <v>4</v>
      </c>
      <c r="G165" s="68">
        <v>-2</v>
      </c>
      <c r="K165" s="59"/>
    </row>
    <row r="166" spans="1:76" x14ac:dyDescent="0.25">
      <c r="A166" s="66"/>
      <c r="D166" s="67" t="s">
        <v>419</v>
      </c>
      <c r="E166" s="67" t="s">
        <v>422</v>
      </c>
      <c r="G166" s="68">
        <v>12.54</v>
      </c>
      <c r="K166" s="59"/>
    </row>
    <row r="167" spans="1:76" x14ac:dyDescent="0.25">
      <c r="A167" s="66"/>
      <c r="D167" s="67" t="s">
        <v>421</v>
      </c>
      <c r="E167" s="67" t="s">
        <v>4</v>
      </c>
      <c r="G167" s="68">
        <v>-2</v>
      </c>
      <c r="K167" s="59"/>
    </row>
    <row r="168" spans="1:76" x14ac:dyDescent="0.25">
      <c r="A168" s="66"/>
      <c r="D168" s="67" t="s">
        <v>419</v>
      </c>
      <c r="E168" s="67" t="s">
        <v>422</v>
      </c>
      <c r="G168" s="68">
        <v>12.54</v>
      </c>
      <c r="K168" s="59"/>
    </row>
    <row r="169" spans="1:76" x14ac:dyDescent="0.25">
      <c r="A169" s="66"/>
      <c r="D169" s="67" t="s">
        <v>423</v>
      </c>
      <c r="E169" s="67" t="s">
        <v>424</v>
      </c>
      <c r="G169" s="68">
        <v>9.9</v>
      </c>
      <c r="K169" s="59"/>
    </row>
    <row r="170" spans="1:76" x14ac:dyDescent="0.25">
      <c r="A170" s="66"/>
      <c r="D170" s="67" t="s">
        <v>425</v>
      </c>
      <c r="E170" s="67" t="s">
        <v>4</v>
      </c>
      <c r="G170" s="68">
        <v>6.27</v>
      </c>
      <c r="K170" s="59"/>
    </row>
    <row r="171" spans="1:76" x14ac:dyDescent="0.25">
      <c r="A171" s="66"/>
      <c r="D171" s="67" t="s">
        <v>426</v>
      </c>
      <c r="E171" s="67" t="s">
        <v>4</v>
      </c>
      <c r="G171" s="68">
        <v>5.28</v>
      </c>
      <c r="K171" s="59"/>
    </row>
    <row r="172" spans="1:76" x14ac:dyDescent="0.25">
      <c r="A172" s="66"/>
      <c r="D172" s="67" t="s">
        <v>427</v>
      </c>
      <c r="E172" s="67" t="s">
        <v>4</v>
      </c>
      <c r="G172" s="68">
        <v>5.61</v>
      </c>
      <c r="K172" s="59"/>
    </row>
    <row r="173" spans="1:76" x14ac:dyDescent="0.25">
      <c r="A173" s="66"/>
      <c r="D173" s="67" t="s">
        <v>419</v>
      </c>
      <c r="E173" s="67" t="s">
        <v>4</v>
      </c>
      <c r="G173" s="68">
        <v>12.54</v>
      </c>
      <c r="K173" s="59"/>
    </row>
    <row r="174" spans="1:76" x14ac:dyDescent="0.25">
      <c r="A174" s="66"/>
      <c r="D174" s="67" t="s">
        <v>428</v>
      </c>
      <c r="E174" s="67" t="s">
        <v>4</v>
      </c>
      <c r="G174" s="68">
        <v>-1.6</v>
      </c>
      <c r="K174" s="59"/>
    </row>
    <row r="175" spans="1:76" x14ac:dyDescent="0.25">
      <c r="A175" s="66"/>
      <c r="D175" s="67" t="s">
        <v>421</v>
      </c>
      <c r="E175" s="67" t="s">
        <v>4</v>
      </c>
      <c r="G175" s="68">
        <v>-2</v>
      </c>
      <c r="K175" s="59"/>
    </row>
    <row r="176" spans="1:76" x14ac:dyDescent="0.25">
      <c r="A176" s="66"/>
      <c r="D176" s="67" t="s">
        <v>429</v>
      </c>
      <c r="E176" s="67" t="s">
        <v>430</v>
      </c>
      <c r="G176" s="68">
        <v>5.94</v>
      </c>
      <c r="K176" s="59"/>
    </row>
    <row r="177" spans="1:11" x14ac:dyDescent="0.25">
      <c r="A177" s="66"/>
      <c r="D177" s="67" t="s">
        <v>431</v>
      </c>
      <c r="E177" s="67" t="s">
        <v>432</v>
      </c>
      <c r="G177" s="68">
        <v>5.04</v>
      </c>
      <c r="K177" s="59"/>
    </row>
    <row r="178" spans="1:11" x14ac:dyDescent="0.25">
      <c r="A178" s="66"/>
      <c r="D178" s="67" t="s">
        <v>421</v>
      </c>
      <c r="E178" s="67" t="s">
        <v>4</v>
      </c>
      <c r="G178" s="68">
        <v>-2</v>
      </c>
      <c r="K178" s="59"/>
    </row>
    <row r="179" spans="1:11" x14ac:dyDescent="0.25">
      <c r="A179" s="66"/>
      <c r="D179" s="67" t="s">
        <v>433</v>
      </c>
      <c r="E179" s="67" t="s">
        <v>434</v>
      </c>
      <c r="G179" s="68">
        <v>4.0625</v>
      </c>
      <c r="K179" s="59"/>
    </row>
    <row r="180" spans="1:11" x14ac:dyDescent="0.25">
      <c r="A180" s="66"/>
      <c r="D180" s="67" t="s">
        <v>428</v>
      </c>
      <c r="E180" s="67" t="s">
        <v>4</v>
      </c>
      <c r="G180" s="68">
        <v>-1.6</v>
      </c>
      <c r="K180" s="59"/>
    </row>
    <row r="181" spans="1:11" x14ac:dyDescent="0.25">
      <c r="A181" s="66"/>
      <c r="D181" s="67" t="s">
        <v>435</v>
      </c>
      <c r="E181" s="67" t="s">
        <v>436</v>
      </c>
      <c r="G181" s="68">
        <v>10.074999999999999</v>
      </c>
      <c r="K181" s="59"/>
    </row>
    <row r="182" spans="1:11" x14ac:dyDescent="0.25">
      <c r="A182" s="66"/>
      <c r="D182" s="67" t="s">
        <v>428</v>
      </c>
      <c r="E182" s="67" t="s">
        <v>4</v>
      </c>
      <c r="G182" s="68">
        <v>-1.6</v>
      </c>
      <c r="K182" s="59"/>
    </row>
    <row r="183" spans="1:11" x14ac:dyDescent="0.25">
      <c r="A183" s="66"/>
      <c r="D183" s="67" t="s">
        <v>428</v>
      </c>
      <c r="E183" s="67" t="s">
        <v>4</v>
      </c>
      <c r="G183" s="68">
        <v>-1.6</v>
      </c>
      <c r="K183" s="59"/>
    </row>
    <row r="184" spans="1:11" x14ac:dyDescent="0.25">
      <c r="A184" s="66"/>
      <c r="D184" s="67" t="s">
        <v>437</v>
      </c>
      <c r="E184" s="67" t="s">
        <v>438</v>
      </c>
      <c r="G184" s="68">
        <v>12.512499999999999</v>
      </c>
      <c r="K184" s="59"/>
    </row>
    <row r="185" spans="1:11" x14ac:dyDescent="0.25">
      <c r="A185" s="66"/>
      <c r="D185" s="67" t="s">
        <v>439</v>
      </c>
      <c r="E185" s="67" t="s">
        <v>440</v>
      </c>
      <c r="G185" s="68">
        <v>9.1</v>
      </c>
      <c r="K185" s="59"/>
    </row>
    <row r="186" spans="1:11" x14ac:dyDescent="0.25">
      <c r="A186" s="66"/>
      <c r="D186" s="67" t="s">
        <v>441</v>
      </c>
      <c r="E186" s="67" t="s">
        <v>442</v>
      </c>
      <c r="G186" s="68">
        <v>22.75</v>
      </c>
      <c r="K186" s="59"/>
    </row>
    <row r="187" spans="1:11" x14ac:dyDescent="0.25">
      <c r="A187" s="66"/>
      <c r="D187" s="67" t="s">
        <v>443</v>
      </c>
      <c r="E187" s="67" t="s">
        <v>444</v>
      </c>
      <c r="G187" s="68">
        <v>14.625</v>
      </c>
      <c r="K187" s="59"/>
    </row>
    <row r="188" spans="1:11" x14ac:dyDescent="0.25">
      <c r="A188" s="66"/>
      <c r="D188" s="67" t="s">
        <v>445</v>
      </c>
      <c r="E188" s="67" t="s">
        <v>446</v>
      </c>
      <c r="G188" s="68">
        <v>5.5250000000000004</v>
      </c>
      <c r="K188" s="59"/>
    </row>
    <row r="189" spans="1:11" x14ac:dyDescent="0.25">
      <c r="A189" s="66"/>
      <c r="D189" s="67" t="s">
        <v>447</v>
      </c>
      <c r="E189" s="67" t="s">
        <v>446</v>
      </c>
      <c r="G189" s="68">
        <v>7.3125</v>
      </c>
      <c r="K189" s="59"/>
    </row>
    <row r="190" spans="1:11" x14ac:dyDescent="0.25">
      <c r="A190" s="66"/>
      <c r="D190" s="67" t="s">
        <v>448</v>
      </c>
      <c r="E190" s="67" t="s">
        <v>4</v>
      </c>
      <c r="G190" s="68">
        <v>-1.8</v>
      </c>
      <c r="K190" s="59"/>
    </row>
    <row r="191" spans="1:11" x14ac:dyDescent="0.25">
      <c r="A191" s="66"/>
      <c r="D191" s="67" t="s">
        <v>443</v>
      </c>
      <c r="E191" s="67" t="s">
        <v>449</v>
      </c>
      <c r="G191" s="68">
        <v>14.625</v>
      </c>
      <c r="K191" s="59"/>
    </row>
    <row r="192" spans="1:11" x14ac:dyDescent="0.25">
      <c r="A192" s="66"/>
      <c r="D192" s="67" t="s">
        <v>421</v>
      </c>
      <c r="E192" s="67" t="s">
        <v>4</v>
      </c>
      <c r="G192" s="68">
        <v>-2</v>
      </c>
      <c r="K192" s="59"/>
    </row>
    <row r="193" spans="1:76" x14ac:dyDescent="0.25">
      <c r="A193" s="1" t="s">
        <v>450</v>
      </c>
      <c r="B193" s="2" t="s">
        <v>84</v>
      </c>
      <c r="C193" s="2" t="s">
        <v>451</v>
      </c>
      <c r="D193" s="86" t="s">
        <v>452</v>
      </c>
      <c r="E193" s="81"/>
      <c r="F193" s="2" t="s">
        <v>132</v>
      </c>
      <c r="G193" s="34">
        <v>95.46</v>
      </c>
      <c r="H193" s="64">
        <v>0</v>
      </c>
      <c r="I193" s="34">
        <f>ROUND(G193*H193,2)</f>
        <v>0</v>
      </c>
      <c r="J193" s="65" t="s">
        <v>133</v>
      </c>
      <c r="K193" s="59"/>
      <c r="Z193" s="34">
        <f>ROUND(IF(AQ193="5",BJ193,0),2)</f>
        <v>0</v>
      </c>
      <c r="AB193" s="34">
        <f>ROUND(IF(AQ193="1",BH193,0),2)</f>
        <v>0</v>
      </c>
      <c r="AC193" s="34">
        <f>ROUND(IF(AQ193="1",BI193,0),2)</f>
        <v>0</v>
      </c>
      <c r="AD193" s="34">
        <f>ROUND(IF(AQ193="7",BH193,0),2)</f>
        <v>0</v>
      </c>
      <c r="AE193" s="34">
        <f>ROUND(IF(AQ193="7",BI193,0),2)</f>
        <v>0</v>
      </c>
      <c r="AF193" s="34">
        <f>ROUND(IF(AQ193="2",BH193,0),2)</f>
        <v>0</v>
      </c>
      <c r="AG193" s="34">
        <f>ROUND(IF(AQ193="2",BI193,0),2)</f>
        <v>0</v>
      </c>
      <c r="AH193" s="34">
        <f>ROUND(IF(AQ193="0",BJ193,0),2)</f>
        <v>0</v>
      </c>
      <c r="AI193" s="46" t="s">
        <v>84</v>
      </c>
      <c r="AJ193" s="34">
        <f>IF(AN193=0,I193,0)</f>
        <v>0</v>
      </c>
      <c r="AK193" s="34">
        <f>IF(AN193=12,I193,0)</f>
        <v>0</v>
      </c>
      <c r="AL193" s="34">
        <f>IF(AN193=21,I193,0)</f>
        <v>0</v>
      </c>
      <c r="AN193" s="34">
        <v>21</v>
      </c>
      <c r="AO193" s="34">
        <f>H193*0.655216007</f>
        <v>0</v>
      </c>
      <c r="AP193" s="34">
        <f>H193*(1-0.655216007)</f>
        <v>0</v>
      </c>
      <c r="AQ193" s="65" t="s">
        <v>129</v>
      </c>
      <c r="AV193" s="34">
        <f>ROUND(AW193+AX193,2)</f>
        <v>0</v>
      </c>
      <c r="AW193" s="34">
        <f>ROUND(G193*AO193,2)</f>
        <v>0</v>
      </c>
      <c r="AX193" s="34">
        <f>ROUND(G193*AP193,2)</f>
        <v>0</v>
      </c>
      <c r="AY193" s="65" t="s">
        <v>405</v>
      </c>
      <c r="AZ193" s="65" t="s">
        <v>241</v>
      </c>
      <c r="BA193" s="46" t="s">
        <v>136</v>
      </c>
      <c r="BC193" s="34">
        <f>AW193+AX193</f>
        <v>0</v>
      </c>
      <c r="BD193" s="34">
        <f>H193/(100-BE193)*100</f>
        <v>0</v>
      </c>
      <c r="BE193" s="34">
        <v>0</v>
      </c>
      <c r="BF193" s="34">
        <f>193</f>
        <v>193</v>
      </c>
      <c r="BH193" s="34">
        <f>G193*AO193</f>
        <v>0</v>
      </c>
      <c r="BI193" s="34">
        <f>G193*AP193</f>
        <v>0</v>
      </c>
      <c r="BJ193" s="34">
        <f>G193*H193</f>
        <v>0</v>
      </c>
      <c r="BK193" s="34"/>
      <c r="BL193" s="34">
        <v>34</v>
      </c>
      <c r="BW193" s="34">
        <v>21</v>
      </c>
      <c r="BX193" s="3" t="s">
        <v>452</v>
      </c>
    </row>
    <row r="194" spans="1:76" x14ac:dyDescent="0.25">
      <c r="A194" s="66"/>
      <c r="D194" s="67" t="s">
        <v>453</v>
      </c>
      <c r="E194" s="67" t="s">
        <v>454</v>
      </c>
      <c r="G194" s="68">
        <v>10.5</v>
      </c>
      <c r="K194" s="59"/>
    </row>
    <row r="195" spans="1:76" x14ac:dyDescent="0.25">
      <c r="A195" s="66"/>
      <c r="D195" s="67" t="s">
        <v>455</v>
      </c>
      <c r="E195" s="67" t="s">
        <v>4</v>
      </c>
      <c r="G195" s="68">
        <v>-3.78</v>
      </c>
      <c r="K195" s="59"/>
    </row>
    <row r="196" spans="1:76" x14ac:dyDescent="0.25">
      <c r="A196" s="66"/>
      <c r="D196" s="67" t="s">
        <v>456</v>
      </c>
      <c r="E196" s="67" t="s">
        <v>457</v>
      </c>
      <c r="G196" s="68">
        <v>11.22</v>
      </c>
      <c r="K196" s="59"/>
    </row>
    <row r="197" spans="1:76" x14ac:dyDescent="0.25">
      <c r="A197" s="66"/>
      <c r="D197" s="67" t="s">
        <v>455</v>
      </c>
      <c r="E197" s="67" t="s">
        <v>4</v>
      </c>
      <c r="G197" s="68">
        <v>-3.78</v>
      </c>
      <c r="K197" s="59"/>
    </row>
    <row r="198" spans="1:76" x14ac:dyDescent="0.25">
      <c r="A198" s="66"/>
      <c r="D198" s="67" t="s">
        <v>458</v>
      </c>
      <c r="E198" s="67" t="s">
        <v>459</v>
      </c>
      <c r="G198" s="68">
        <v>60.125</v>
      </c>
      <c r="K198" s="59"/>
    </row>
    <row r="199" spans="1:76" x14ac:dyDescent="0.25">
      <c r="A199" s="66"/>
      <c r="D199" s="67" t="s">
        <v>421</v>
      </c>
      <c r="E199" s="67" t="s">
        <v>4</v>
      </c>
      <c r="G199" s="68">
        <v>-2</v>
      </c>
      <c r="K199" s="59"/>
    </row>
    <row r="200" spans="1:76" x14ac:dyDescent="0.25">
      <c r="A200" s="66"/>
      <c r="D200" s="67" t="s">
        <v>421</v>
      </c>
      <c r="E200" s="67" t="s">
        <v>4</v>
      </c>
      <c r="G200" s="68">
        <v>-2</v>
      </c>
      <c r="K200" s="59"/>
    </row>
    <row r="201" spans="1:76" x14ac:dyDescent="0.25">
      <c r="A201" s="66"/>
      <c r="D201" s="67" t="s">
        <v>460</v>
      </c>
      <c r="E201" s="67" t="s">
        <v>461</v>
      </c>
      <c r="G201" s="68">
        <v>12.35</v>
      </c>
      <c r="K201" s="59"/>
    </row>
    <row r="202" spans="1:76" x14ac:dyDescent="0.25">
      <c r="A202" s="66"/>
      <c r="D202" s="67" t="s">
        <v>448</v>
      </c>
      <c r="E202" s="67" t="s">
        <v>4</v>
      </c>
      <c r="G202" s="68">
        <v>-1.8</v>
      </c>
      <c r="K202" s="59"/>
    </row>
    <row r="203" spans="1:76" x14ac:dyDescent="0.25">
      <c r="A203" s="66"/>
      <c r="D203" s="67" t="s">
        <v>443</v>
      </c>
      <c r="E203" s="67" t="s">
        <v>462</v>
      </c>
      <c r="G203" s="68">
        <v>14.625</v>
      </c>
      <c r="K203" s="59"/>
    </row>
    <row r="204" spans="1:76" x14ac:dyDescent="0.25">
      <c r="A204" s="1" t="s">
        <v>463</v>
      </c>
      <c r="B204" s="2" t="s">
        <v>84</v>
      </c>
      <c r="C204" s="2" t="s">
        <v>464</v>
      </c>
      <c r="D204" s="86" t="s">
        <v>465</v>
      </c>
      <c r="E204" s="81"/>
      <c r="F204" s="2" t="s">
        <v>132</v>
      </c>
      <c r="G204" s="34">
        <v>10.725</v>
      </c>
      <c r="H204" s="64">
        <v>0</v>
      </c>
      <c r="I204" s="34">
        <f>ROUND(G204*H204,2)</f>
        <v>0</v>
      </c>
      <c r="J204" s="65" t="s">
        <v>133</v>
      </c>
      <c r="K204" s="59"/>
      <c r="Z204" s="34">
        <f>ROUND(IF(AQ204="5",BJ204,0),2)</f>
        <v>0</v>
      </c>
      <c r="AB204" s="34">
        <f>ROUND(IF(AQ204="1",BH204,0),2)</f>
        <v>0</v>
      </c>
      <c r="AC204" s="34">
        <f>ROUND(IF(AQ204="1",BI204,0),2)</f>
        <v>0</v>
      </c>
      <c r="AD204" s="34">
        <f>ROUND(IF(AQ204="7",BH204,0),2)</f>
        <v>0</v>
      </c>
      <c r="AE204" s="34">
        <f>ROUND(IF(AQ204="7",BI204,0),2)</f>
        <v>0</v>
      </c>
      <c r="AF204" s="34">
        <f>ROUND(IF(AQ204="2",BH204,0),2)</f>
        <v>0</v>
      </c>
      <c r="AG204" s="34">
        <f>ROUND(IF(AQ204="2",BI204,0),2)</f>
        <v>0</v>
      </c>
      <c r="AH204" s="34">
        <f>ROUND(IF(AQ204="0",BJ204,0),2)</f>
        <v>0</v>
      </c>
      <c r="AI204" s="46" t="s">
        <v>84</v>
      </c>
      <c r="AJ204" s="34">
        <f>IF(AN204=0,I204,0)</f>
        <v>0</v>
      </c>
      <c r="AK204" s="34">
        <f>IF(AN204=12,I204,0)</f>
        <v>0</v>
      </c>
      <c r="AL204" s="34">
        <f>IF(AN204=21,I204,0)</f>
        <v>0</v>
      </c>
      <c r="AN204" s="34">
        <v>21</v>
      </c>
      <c r="AO204" s="34">
        <f>H204*0.675472539</f>
        <v>0</v>
      </c>
      <c r="AP204" s="34">
        <f>H204*(1-0.675472539)</f>
        <v>0</v>
      </c>
      <c r="AQ204" s="65" t="s">
        <v>129</v>
      </c>
      <c r="AV204" s="34">
        <f>ROUND(AW204+AX204,2)</f>
        <v>0</v>
      </c>
      <c r="AW204" s="34">
        <f>ROUND(G204*AO204,2)</f>
        <v>0</v>
      </c>
      <c r="AX204" s="34">
        <f>ROUND(G204*AP204,2)</f>
        <v>0</v>
      </c>
      <c r="AY204" s="65" t="s">
        <v>405</v>
      </c>
      <c r="AZ204" s="65" t="s">
        <v>241</v>
      </c>
      <c r="BA204" s="46" t="s">
        <v>136</v>
      </c>
      <c r="BC204" s="34">
        <f>AW204+AX204</f>
        <v>0</v>
      </c>
      <c r="BD204" s="34">
        <f>H204/(100-BE204)*100</f>
        <v>0</v>
      </c>
      <c r="BE204" s="34">
        <v>0</v>
      </c>
      <c r="BF204" s="34">
        <f>204</f>
        <v>204</v>
      </c>
      <c r="BH204" s="34">
        <f>G204*AO204</f>
        <v>0</v>
      </c>
      <c r="BI204" s="34">
        <f>G204*AP204</f>
        <v>0</v>
      </c>
      <c r="BJ204" s="34">
        <f>G204*H204</f>
        <v>0</v>
      </c>
      <c r="BK204" s="34"/>
      <c r="BL204" s="34">
        <v>34</v>
      </c>
      <c r="BW204" s="34">
        <v>21</v>
      </c>
      <c r="BX204" s="3" t="s">
        <v>465</v>
      </c>
    </row>
    <row r="205" spans="1:76" x14ac:dyDescent="0.25">
      <c r="A205" s="66"/>
      <c r="D205" s="67" t="s">
        <v>466</v>
      </c>
      <c r="E205" s="67" t="s">
        <v>467</v>
      </c>
      <c r="G205" s="68">
        <v>7.4749999999999996</v>
      </c>
      <c r="K205" s="59"/>
    </row>
    <row r="206" spans="1:76" x14ac:dyDescent="0.25">
      <c r="A206" s="66"/>
      <c r="D206" s="67" t="s">
        <v>468</v>
      </c>
      <c r="E206" s="67" t="s">
        <v>469</v>
      </c>
      <c r="G206" s="68">
        <v>3.25</v>
      </c>
      <c r="K206" s="59"/>
    </row>
    <row r="207" spans="1:76" x14ac:dyDescent="0.25">
      <c r="A207" s="1" t="s">
        <v>470</v>
      </c>
      <c r="B207" s="2" t="s">
        <v>84</v>
      </c>
      <c r="C207" s="2" t="s">
        <v>471</v>
      </c>
      <c r="D207" s="86" t="s">
        <v>472</v>
      </c>
      <c r="E207" s="81"/>
      <c r="F207" s="2" t="s">
        <v>132</v>
      </c>
      <c r="G207" s="34">
        <v>43.21</v>
      </c>
      <c r="H207" s="64">
        <v>0</v>
      </c>
      <c r="I207" s="34">
        <f>ROUND(G207*H207,2)</f>
        <v>0</v>
      </c>
      <c r="J207" s="65" t="s">
        <v>398</v>
      </c>
      <c r="K207" s="59"/>
      <c r="Z207" s="34">
        <f>ROUND(IF(AQ207="5",BJ207,0),2)</f>
        <v>0</v>
      </c>
      <c r="AB207" s="34">
        <f>ROUND(IF(AQ207="1",BH207,0),2)</f>
        <v>0</v>
      </c>
      <c r="AC207" s="34">
        <f>ROUND(IF(AQ207="1",BI207,0),2)</f>
        <v>0</v>
      </c>
      <c r="AD207" s="34">
        <f>ROUND(IF(AQ207="7",BH207,0),2)</f>
        <v>0</v>
      </c>
      <c r="AE207" s="34">
        <f>ROUND(IF(AQ207="7",BI207,0),2)</f>
        <v>0</v>
      </c>
      <c r="AF207" s="34">
        <f>ROUND(IF(AQ207="2",BH207,0),2)</f>
        <v>0</v>
      </c>
      <c r="AG207" s="34">
        <f>ROUND(IF(AQ207="2",BI207,0),2)</f>
        <v>0</v>
      </c>
      <c r="AH207" s="34">
        <f>ROUND(IF(AQ207="0",BJ207,0),2)</f>
        <v>0</v>
      </c>
      <c r="AI207" s="46" t="s">
        <v>84</v>
      </c>
      <c r="AJ207" s="34">
        <f>IF(AN207=0,I207,0)</f>
        <v>0</v>
      </c>
      <c r="AK207" s="34">
        <f>IF(AN207=12,I207,0)</f>
        <v>0</v>
      </c>
      <c r="AL207" s="34">
        <f>IF(AN207=21,I207,0)</f>
        <v>0</v>
      </c>
      <c r="AN207" s="34">
        <v>21</v>
      </c>
      <c r="AO207" s="34">
        <f>H207*0.935717621</f>
        <v>0</v>
      </c>
      <c r="AP207" s="34">
        <f>H207*(1-0.935717621)</f>
        <v>0</v>
      </c>
      <c r="AQ207" s="65" t="s">
        <v>129</v>
      </c>
      <c r="AV207" s="34">
        <f>ROUND(AW207+AX207,2)</f>
        <v>0</v>
      </c>
      <c r="AW207" s="34">
        <f>ROUND(G207*AO207,2)</f>
        <v>0</v>
      </c>
      <c r="AX207" s="34">
        <f>ROUND(G207*AP207,2)</f>
        <v>0</v>
      </c>
      <c r="AY207" s="65" t="s">
        <v>405</v>
      </c>
      <c r="AZ207" s="65" t="s">
        <v>241</v>
      </c>
      <c r="BA207" s="46" t="s">
        <v>136</v>
      </c>
      <c r="BC207" s="34">
        <f>AW207+AX207</f>
        <v>0</v>
      </c>
      <c r="BD207" s="34">
        <f>H207/(100-BE207)*100</f>
        <v>0</v>
      </c>
      <c r="BE207" s="34">
        <v>0</v>
      </c>
      <c r="BF207" s="34">
        <f>207</f>
        <v>207</v>
      </c>
      <c r="BH207" s="34">
        <f>G207*AO207</f>
        <v>0</v>
      </c>
      <c r="BI207" s="34">
        <f>G207*AP207</f>
        <v>0</v>
      </c>
      <c r="BJ207" s="34">
        <f>G207*H207</f>
        <v>0</v>
      </c>
      <c r="BK207" s="34"/>
      <c r="BL207" s="34">
        <v>34</v>
      </c>
      <c r="BW207" s="34">
        <v>21</v>
      </c>
      <c r="BX207" s="3" t="s">
        <v>472</v>
      </c>
    </row>
    <row r="208" spans="1:76" x14ac:dyDescent="0.25">
      <c r="A208" s="66"/>
      <c r="D208" s="67" t="s">
        <v>473</v>
      </c>
      <c r="E208" s="67" t="s">
        <v>474</v>
      </c>
      <c r="G208" s="68">
        <v>11.5</v>
      </c>
      <c r="K208" s="59"/>
    </row>
    <row r="209" spans="1:76" x14ac:dyDescent="0.25">
      <c r="A209" s="66"/>
      <c r="D209" s="67" t="s">
        <v>475</v>
      </c>
      <c r="E209" s="67" t="s">
        <v>476</v>
      </c>
      <c r="G209" s="68">
        <v>14.7</v>
      </c>
      <c r="K209" s="59"/>
    </row>
    <row r="210" spans="1:76" x14ac:dyDescent="0.25">
      <c r="A210" s="66"/>
      <c r="D210" s="67" t="s">
        <v>477</v>
      </c>
      <c r="E210" s="67" t="s">
        <v>4</v>
      </c>
      <c r="G210" s="68">
        <v>17.010000000000002</v>
      </c>
      <c r="K210" s="59"/>
    </row>
    <row r="211" spans="1:76" x14ac:dyDescent="0.25">
      <c r="A211" s="1" t="s">
        <v>478</v>
      </c>
      <c r="B211" s="2" t="s">
        <v>84</v>
      </c>
      <c r="C211" s="2" t="s">
        <v>479</v>
      </c>
      <c r="D211" s="86" t="s">
        <v>480</v>
      </c>
      <c r="E211" s="81"/>
      <c r="F211" s="2" t="s">
        <v>132</v>
      </c>
      <c r="G211" s="34">
        <v>14.5</v>
      </c>
      <c r="H211" s="64">
        <v>0</v>
      </c>
      <c r="I211" s="34">
        <f>ROUND(G211*H211,2)</f>
        <v>0</v>
      </c>
      <c r="J211" s="65" t="s">
        <v>133</v>
      </c>
      <c r="K211" s="59"/>
      <c r="Z211" s="34">
        <f>ROUND(IF(AQ211="5",BJ211,0),2)</f>
        <v>0</v>
      </c>
      <c r="AB211" s="34">
        <f>ROUND(IF(AQ211="1",BH211,0),2)</f>
        <v>0</v>
      </c>
      <c r="AC211" s="34">
        <f>ROUND(IF(AQ211="1",BI211,0),2)</f>
        <v>0</v>
      </c>
      <c r="AD211" s="34">
        <f>ROUND(IF(AQ211="7",BH211,0),2)</f>
        <v>0</v>
      </c>
      <c r="AE211" s="34">
        <f>ROUND(IF(AQ211="7",BI211,0),2)</f>
        <v>0</v>
      </c>
      <c r="AF211" s="34">
        <f>ROUND(IF(AQ211="2",BH211,0),2)</f>
        <v>0</v>
      </c>
      <c r="AG211" s="34">
        <f>ROUND(IF(AQ211="2",BI211,0),2)</f>
        <v>0</v>
      </c>
      <c r="AH211" s="34">
        <f>ROUND(IF(AQ211="0",BJ211,0),2)</f>
        <v>0</v>
      </c>
      <c r="AI211" s="46" t="s">
        <v>84</v>
      </c>
      <c r="AJ211" s="34">
        <f>IF(AN211=0,I211,0)</f>
        <v>0</v>
      </c>
      <c r="AK211" s="34">
        <f>IF(AN211=12,I211,0)</f>
        <v>0</v>
      </c>
      <c r="AL211" s="34">
        <f>IF(AN211=21,I211,0)</f>
        <v>0</v>
      </c>
      <c r="AN211" s="34">
        <v>21</v>
      </c>
      <c r="AO211" s="34">
        <f>H211*0.382803817</f>
        <v>0</v>
      </c>
      <c r="AP211" s="34">
        <f>H211*(1-0.382803817)</f>
        <v>0</v>
      </c>
      <c r="AQ211" s="65" t="s">
        <v>129</v>
      </c>
      <c r="AV211" s="34">
        <f>ROUND(AW211+AX211,2)</f>
        <v>0</v>
      </c>
      <c r="AW211" s="34">
        <f>ROUND(G211*AO211,2)</f>
        <v>0</v>
      </c>
      <c r="AX211" s="34">
        <f>ROUND(G211*AP211,2)</f>
        <v>0</v>
      </c>
      <c r="AY211" s="65" t="s">
        <v>405</v>
      </c>
      <c r="AZ211" s="65" t="s">
        <v>241</v>
      </c>
      <c r="BA211" s="46" t="s">
        <v>136</v>
      </c>
      <c r="BC211" s="34">
        <f>AW211+AX211</f>
        <v>0</v>
      </c>
      <c r="BD211" s="34">
        <f>H211/(100-BE211)*100</f>
        <v>0</v>
      </c>
      <c r="BE211" s="34">
        <v>0</v>
      </c>
      <c r="BF211" s="34">
        <f>211</f>
        <v>211</v>
      </c>
      <c r="BH211" s="34">
        <f>G211*AO211</f>
        <v>0</v>
      </c>
      <c r="BI211" s="34">
        <f>G211*AP211</f>
        <v>0</v>
      </c>
      <c r="BJ211" s="34">
        <f>G211*H211</f>
        <v>0</v>
      </c>
      <c r="BK211" s="34"/>
      <c r="BL211" s="34">
        <v>34</v>
      </c>
      <c r="BW211" s="34">
        <v>21</v>
      </c>
      <c r="BX211" s="3" t="s">
        <v>480</v>
      </c>
    </row>
    <row r="212" spans="1:76" x14ac:dyDescent="0.25">
      <c r="A212" s="66"/>
      <c r="D212" s="67" t="s">
        <v>481</v>
      </c>
      <c r="E212" s="67" t="s">
        <v>482</v>
      </c>
      <c r="G212" s="68">
        <v>4.55</v>
      </c>
      <c r="K212" s="59"/>
    </row>
    <row r="213" spans="1:76" x14ac:dyDescent="0.25">
      <c r="A213" s="66"/>
      <c r="D213" s="67" t="s">
        <v>483</v>
      </c>
      <c r="E213" s="67" t="s">
        <v>484</v>
      </c>
      <c r="G213" s="68">
        <v>1.625</v>
      </c>
      <c r="K213" s="59"/>
    </row>
    <row r="214" spans="1:76" x14ac:dyDescent="0.25">
      <c r="A214" s="66"/>
      <c r="D214" s="67" t="s">
        <v>483</v>
      </c>
      <c r="E214" s="67" t="s">
        <v>485</v>
      </c>
      <c r="G214" s="68">
        <v>1.625</v>
      </c>
      <c r="K214" s="59"/>
    </row>
    <row r="215" spans="1:76" x14ac:dyDescent="0.25">
      <c r="A215" s="66"/>
      <c r="D215" s="67" t="s">
        <v>486</v>
      </c>
      <c r="E215" s="67" t="s">
        <v>487</v>
      </c>
      <c r="G215" s="68">
        <v>6.7</v>
      </c>
      <c r="K215" s="59"/>
    </row>
    <row r="216" spans="1:76" x14ac:dyDescent="0.25">
      <c r="A216" s="1" t="s">
        <v>488</v>
      </c>
      <c r="B216" s="2" t="s">
        <v>84</v>
      </c>
      <c r="C216" s="2" t="s">
        <v>489</v>
      </c>
      <c r="D216" s="86" t="s">
        <v>490</v>
      </c>
      <c r="E216" s="81"/>
      <c r="F216" s="2" t="s">
        <v>132</v>
      </c>
      <c r="G216" s="34">
        <v>1</v>
      </c>
      <c r="H216" s="64">
        <v>0</v>
      </c>
      <c r="I216" s="34">
        <f>ROUND(G216*H216,2)</f>
        <v>0</v>
      </c>
      <c r="J216" s="65" t="s">
        <v>133</v>
      </c>
      <c r="K216" s="59"/>
      <c r="Z216" s="34">
        <f>ROUND(IF(AQ216="5",BJ216,0),2)</f>
        <v>0</v>
      </c>
      <c r="AB216" s="34">
        <f>ROUND(IF(AQ216="1",BH216,0),2)</f>
        <v>0</v>
      </c>
      <c r="AC216" s="34">
        <f>ROUND(IF(AQ216="1",BI216,0),2)</f>
        <v>0</v>
      </c>
      <c r="AD216" s="34">
        <f>ROUND(IF(AQ216="7",BH216,0),2)</f>
        <v>0</v>
      </c>
      <c r="AE216" s="34">
        <f>ROUND(IF(AQ216="7",BI216,0),2)</f>
        <v>0</v>
      </c>
      <c r="AF216" s="34">
        <f>ROUND(IF(AQ216="2",BH216,0),2)</f>
        <v>0</v>
      </c>
      <c r="AG216" s="34">
        <f>ROUND(IF(AQ216="2",BI216,0),2)</f>
        <v>0</v>
      </c>
      <c r="AH216" s="34">
        <f>ROUND(IF(AQ216="0",BJ216,0),2)</f>
        <v>0</v>
      </c>
      <c r="AI216" s="46" t="s">
        <v>84</v>
      </c>
      <c r="AJ216" s="34">
        <f>IF(AN216=0,I216,0)</f>
        <v>0</v>
      </c>
      <c r="AK216" s="34">
        <f>IF(AN216=12,I216,0)</f>
        <v>0</v>
      </c>
      <c r="AL216" s="34">
        <f>IF(AN216=21,I216,0)</f>
        <v>0</v>
      </c>
      <c r="AN216" s="34">
        <v>21</v>
      </c>
      <c r="AO216" s="34">
        <f>H216*0.515060403</f>
        <v>0</v>
      </c>
      <c r="AP216" s="34">
        <f>H216*(1-0.515060403)</f>
        <v>0</v>
      </c>
      <c r="AQ216" s="65" t="s">
        <v>129</v>
      </c>
      <c r="AV216" s="34">
        <f>ROUND(AW216+AX216,2)</f>
        <v>0</v>
      </c>
      <c r="AW216" s="34">
        <f>ROUND(G216*AO216,2)</f>
        <v>0</v>
      </c>
      <c r="AX216" s="34">
        <f>ROUND(G216*AP216,2)</f>
        <v>0</v>
      </c>
      <c r="AY216" s="65" t="s">
        <v>405</v>
      </c>
      <c r="AZ216" s="65" t="s">
        <v>241</v>
      </c>
      <c r="BA216" s="46" t="s">
        <v>136</v>
      </c>
      <c r="BC216" s="34">
        <f>AW216+AX216</f>
        <v>0</v>
      </c>
      <c r="BD216" s="34">
        <f>H216/(100-BE216)*100</f>
        <v>0</v>
      </c>
      <c r="BE216" s="34">
        <v>0</v>
      </c>
      <c r="BF216" s="34">
        <f>216</f>
        <v>216</v>
      </c>
      <c r="BH216" s="34">
        <f>G216*AO216</f>
        <v>0</v>
      </c>
      <c r="BI216" s="34">
        <f>G216*AP216</f>
        <v>0</v>
      </c>
      <c r="BJ216" s="34">
        <f>G216*H216</f>
        <v>0</v>
      </c>
      <c r="BK216" s="34"/>
      <c r="BL216" s="34">
        <v>34</v>
      </c>
      <c r="BW216" s="34">
        <v>21</v>
      </c>
      <c r="BX216" s="3" t="s">
        <v>490</v>
      </c>
    </row>
    <row r="217" spans="1:76" ht="13.5" customHeight="1" x14ac:dyDescent="0.25">
      <c r="A217" s="66"/>
      <c r="C217" s="69" t="s">
        <v>204</v>
      </c>
      <c r="D217" s="169" t="s">
        <v>491</v>
      </c>
      <c r="E217" s="170"/>
      <c r="F217" s="170"/>
      <c r="G217" s="170"/>
      <c r="H217" s="171"/>
      <c r="I217" s="170"/>
      <c r="J217" s="170"/>
      <c r="K217" s="172"/>
    </row>
    <row r="218" spans="1:76" x14ac:dyDescent="0.25">
      <c r="A218" s="66"/>
      <c r="D218" s="67" t="s">
        <v>492</v>
      </c>
      <c r="E218" s="67" t="s">
        <v>493</v>
      </c>
      <c r="G218" s="68">
        <v>1</v>
      </c>
      <c r="K218" s="59"/>
    </row>
    <row r="219" spans="1:76" x14ac:dyDescent="0.25">
      <c r="A219" s="60" t="s">
        <v>4</v>
      </c>
      <c r="B219" s="61" t="s">
        <v>84</v>
      </c>
      <c r="C219" s="61" t="s">
        <v>387</v>
      </c>
      <c r="D219" s="167" t="s">
        <v>494</v>
      </c>
      <c r="E219" s="168"/>
      <c r="F219" s="62" t="s">
        <v>79</v>
      </c>
      <c r="G219" s="62" t="s">
        <v>79</v>
      </c>
      <c r="H219" s="63" t="s">
        <v>79</v>
      </c>
      <c r="I219" s="39">
        <f>SUM(I220:I220)</f>
        <v>0</v>
      </c>
      <c r="J219" s="46" t="s">
        <v>4</v>
      </c>
      <c r="K219" s="59"/>
      <c r="AI219" s="46" t="s">
        <v>84</v>
      </c>
      <c r="AS219" s="39">
        <f>SUM(AJ220:AJ220)</f>
        <v>0</v>
      </c>
      <c r="AT219" s="39">
        <f>SUM(AK220:AK220)</f>
        <v>0</v>
      </c>
      <c r="AU219" s="39">
        <f>SUM(AL220:AL220)</f>
        <v>0</v>
      </c>
    </row>
    <row r="220" spans="1:76" x14ac:dyDescent="0.25">
      <c r="A220" s="1" t="s">
        <v>495</v>
      </c>
      <c r="B220" s="2" t="s">
        <v>84</v>
      </c>
      <c r="C220" s="2" t="s">
        <v>496</v>
      </c>
      <c r="D220" s="86" t="s">
        <v>497</v>
      </c>
      <c r="E220" s="81"/>
      <c r="F220" s="2" t="s">
        <v>143</v>
      </c>
      <c r="G220" s="34">
        <v>0.3</v>
      </c>
      <c r="H220" s="64">
        <v>0</v>
      </c>
      <c r="I220" s="34">
        <f>ROUND(G220*H220,2)</f>
        <v>0</v>
      </c>
      <c r="J220" s="65" t="s">
        <v>133</v>
      </c>
      <c r="K220" s="59"/>
      <c r="Z220" s="34">
        <f>ROUND(IF(AQ220="5",BJ220,0),2)</f>
        <v>0</v>
      </c>
      <c r="AB220" s="34">
        <f>ROUND(IF(AQ220="1",BH220,0),2)</f>
        <v>0</v>
      </c>
      <c r="AC220" s="34">
        <f>ROUND(IF(AQ220="1",BI220,0),2)</f>
        <v>0</v>
      </c>
      <c r="AD220" s="34">
        <f>ROUND(IF(AQ220="7",BH220,0),2)</f>
        <v>0</v>
      </c>
      <c r="AE220" s="34">
        <f>ROUND(IF(AQ220="7",BI220,0),2)</f>
        <v>0</v>
      </c>
      <c r="AF220" s="34">
        <f>ROUND(IF(AQ220="2",BH220,0),2)</f>
        <v>0</v>
      </c>
      <c r="AG220" s="34">
        <f>ROUND(IF(AQ220="2",BI220,0),2)</f>
        <v>0</v>
      </c>
      <c r="AH220" s="34">
        <f>ROUND(IF(AQ220="0",BJ220,0),2)</f>
        <v>0</v>
      </c>
      <c r="AI220" s="46" t="s">
        <v>84</v>
      </c>
      <c r="AJ220" s="34">
        <f>IF(AN220=0,I220,0)</f>
        <v>0</v>
      </c>
      <c r="AK220" s="34">
        <f>IF(AN220=12,I220,0)</f>
        <v>0</v>
      </c>
      <c r="AL220" s="34">
        <f>IF(AN220=21,I220,0)</f>
        <v>0</v>
      </c>
      <c r="AN220" s="34">
        <v>21</v>
      </c>
      <c r="AO220" s="34">
        <f>H220*0.671743165</f>
        <v>0</v>
      </c>
      <c r="AP220" s="34">
        <f>H220*(1-0.671743165)</f>
        <v>0</v>
      </c>
      <c r="AQ220" s="65" t="s">
        <v>129</v>
      </c>
      <c r="AV220" s="34">
        <f>ROUND(AW220+AX220,2)</f>
        <v>0</v>
      </c>
      <c r="AW220" s="34">
        <f>ROUND(G220*AO220,2)</f>
        <v>0</v>
      </c>
      <c r="AX220" s="34">
        <f>ROUND(G220*AP220,2)</f>
        <v>0</v>
      </c>
      <c r="AY220" s="65" t="s">
        <v>498</v>
      </c>
      <c r="AZ220" s="65" t="s">
        <v>241</v>
      </c>
      <c r="BA220" s="46" t="s">
        <v>136</v>
      </c>
      <c r="BC220" s="34">
        <f>AW220+AX220</f>
        <v>0</v>
      </c>
      <c r="BD220" s="34">
        <f>H220/(100-BE220)*100</f>
        <v>0</v>
      </c>
      <c r="BE220" s="34">
        <v>0</v>
      </c>
      <c r="BF220" s="34">
        <f>220</f>
        <v>220</v>
      </c>
      <c r="BH220" s="34">
        <f>G220*AO220</f>
        <v>0</v>
      </c>
      <c r="BI220" s="34">
        <f>G220*AP220</f>
        <v>0</v>
      </c>
      <c r="BJ220" s="34">
        <f>G220*H220</f>
        <v>0</v>
      </c>
      <c r="BK220" s="34"/>
      <c r="BL220" s="34">
        <v>38</v>
      </c>
      <c r="BW220" s="34">
        <v>21</v>
      </c>
      <c r="BX220" s="3" t="s">
        <v>497</v>
      </c>
    </row>
    <row r="221" spans="1:76" ht="13.5" customHeight="1" x14ac:dyDescent="0.25">
      <c r="A221" s="66"/>
      <c r="C221" s="69" t="s">
        <v>204</v>
      </c>
      <c r="D221" s="169" t="s">
        <v>499</v>
      </c>
      <c r="E221" s="170"/>
      <c r="F221" s="170"/>
      <c r="G221" s="170"/>
      <c r="H221" s="171"/>
      <c r="I221" s="170"/>
      <c r="J221" s="170"/>
      <c r="K221" s="172"/>
    </row>
    <row r="222" spans="1:76" x14ac:dyDescent="0.25">
      <c r="A222" s="66"/>
      <c r="D222" s="67" t="s">
        <v>500</v>
      </c>
      <c r="E222" s="67" t="s">
        <v>501</v>
      </c>
      <c r="G222" s="68">
        <v>0.3</v>
      </c>
      <c r="K222" s="59"/>
    </row>
    <row r="223" spans="1:76" x14ac:dyDescent="0.25">
      <c r="A223" s="60" t="s">
        <v>4</v>
      </c>
      <c r="B223" s="61" t="s">
        <v>84</v>
      </c>
      <c r="C223" s="61" t="s">
        <v>402</v>
      </c>
      <c r="D223" s="167" t="s">
        <v>502</v>
      </c>
      <c r="E223" s="168"/>
      <c r="F223" s="62" t="s">
        <v>79</v>
      </c>
      <c r="G223" s="62" t="s">
        <v>79</v>
      </c>
      <c r="H223" s="63" t="s">
        <v>79</v>
      </c>
      <c r="I223" s="39">
        <f>SUM(I224:I261)</f>
        <v>0</v>
      </c>
      <c r="J223" s="46" t="s">
        <v>4</v>
      </c>
      <c r="K223" s="59"/>
      <c r="AI223" s="46" t="s">
        <v>84</v>
      </c>
      <c r="AS223" s="39">
        <f>SUM(AJ224:AJ261)</f>
        <v>0</v>
      </c>
      <c r="AT223" s="39">
        <f>SUM(AK224:AK261)</f>
        <v>0</v>
      </c>
      <c r="AU223" s="39">
        <f>SUM(AL224:AL261)</f>
        <v>0</v>
      </c>
    </row>
    <row r="224" spans="1:76" x14ac:dyDescent="0.25">
      <c r="A224" s="1" t="s">
        <v>503</v>
      </c>
      <c r="B224" s="2" t="s">
        <v>84</v>
      </c>
      <c r="C224" s="2" t="s">
        <v>504</v>
      </c>
      <c r="D224" s="86" t="s">
        <v>505</v>
      </c>
      <c r="E224" s="81"/>
      <c r="F224" s="2" t="s">
        <v>143</v>
      </c>
      <c r="G224" s="34">
        <v>1.125</v>
      </c>
      <c r="H224" s="64">
        <v>0</v>
      </c>
      <c r="I224" s="34">
        <f>ROUND(G224*H224,2)</f>
        <v>0</v>
      </c>
      <c r="J224" s="65" t="s">
        <v>133</v>
      </c>
      <c r="K224" s="59"/>
      <c r="Z224" s="34">
        <f>ROUND(IF(AQ224="5",BJ224,0),2)</f>
        <v>0</v>
      </c>
      <c r="AB224" s="34">
        <f>ROUND(IF(AQ224="1",BH224,0),2)</f>
        <v>0</v>
      </c>
      <c r="AC224" s="34">
        <f>ROUND(IF(AQ224="1",BI224,0),2)</f>
        <v>0</v>
      </c>
      <c r="AD224" s="34">
        <f>ROUND(IF(AQ224="7",BH224,0),2)</f>
        <v>0</v>
      </c>
      <c r="AE224" s="34">
        <f>ROUND(IF(AQ224="7",BI224,0),2)</f>
        <v>0</v>
      </c>
      <c r="AF224" s="34">
        <f>ROUND(IF(AQ224="2",BH224,0),2)</f>
        <v>0</v>
      </c>
      <c r="AG224" s="34">
        <f>ROUND(IF(AQ224="2",BI224,0),2)</f>
        <v>0</v>
      </c>
      <c r="AH224" s="34">
        <f>ROUND(IF(AQ224="0",BJ224,0),2)</f>
        <v>0</v>
      </c>
      <c r="AI224" s="46" t="s">
        <v>84</v>
      </c>
      <c r="AJ224" s="34">
        <f>IF(AN224=0,I224,0)</f>
        <v>0</v>
      </c>
      <c r="AK224" s="34">
        <f>IF(AN224=12,I224,0)</f>
        <v>0</v>
      </c>
      <c r="AL224" s="34">
        <f>IF(AN224=21,I224,0)</f>
        <v>0</v>
      </c>
      <c r="AN224" s="34">
        <v>21</v>
      </c>
      <c r="AO224" s="34">
        <f>H224*0.816210068</f>
        <v>0</v>
      </c>
      <c r="AP224" s="34">
        <f>H224*(1-0.816210068)</f>
        <v>0</v>
      </c>
      <c r="AQ224" s="65" t="s">
        <v>129</v>
      </c>
      <c r="AV224" s="34">
        <f>ROUND(AW224+AX224,2)</f>
        <v>0</v>
      </c>
      <c r="AW224" s="34">
        <f>ROUND(G224*AO224,2)</f>
        <v>0</v>
      </c>
      <c r="AX224" s="34">
        <f>ROUND(G224*AP224,2)</f>
        <v>0</v>
      </c>
      <c r="AY224" s="65" t="s">
        <v>506</v>
      </c>
      <c r="AZ224" s="65" t="s">
        <v>507</v>
      </c>
      <c r="BA224" s="46" t="s">
        <v>136</v>
      </c>
      <c r="BC224" s="34">
        <f>AW224+AX224</f>
        <v>0</v>
      </c>
      <c r="BD224" s="34">
        <f>H224/(100-BE224)*100</f>
        <v>0</v>
      </c>
      <c r="BE224" s="34">
        <v>0</v>
      </c>
      <c r="BF224" s="34">
        <f>224</f>
        <v>224</v>
      </c>
      <c r="BH224" s="34">
        <f>G224*AO224</f>
        <v>0</v>
      </c>
      <c r="BI224" s="34">
        <f>G224*AP224</f>
        <v>0</v>
      </c>
      <c r="BJ224" s="34">
        <f>G224*H224</f>
        <v>0</v>
      </c>
      <c r="BK224" s="34"/>
      <c r="BL224" s="34">
        <v>41</v>
      </c>
      <c r="BW224" s="34">
        <v>21</v>
      </c>
      <c r="BX224" s="3" t="s">
        <v>505</v>
      </c>
    </row>
    <row r="225" spans="1:76" x14ac:dyDescent="0.25">
      <c r="A225" s="66"/>
      <c r="D225" s="67" t="s">
        <v>508</v>
      </c>
      <c r="E225" s="67" t="s">
        <v>509</v>
      </c>
      <c r="G225" s="68">
        <v>1.125</v>
      </c>
      <c r="K225" s="59"/>
    </row>
    <row r="226" spans="1:76" x14ac:dyDescent="0.25">
      <c r="A226" s="1" t="s">
        <v>510</v>
      </c>
      <c r="B226" s="2" t="s">
        <v>84</v>
      </c>
      <c r="C226" s="2" t="s">
        <v>511</v>
      </c>
      <c r="D226" s="86" t="s">
        <v>512</v>
      </c>
      <c r="E226" s="81"/>
      <c r="F226" s="2" t="s">
        <v>239</v>
      </c>
      <c r="G226" s="34">
        <v>15</v>
      </c>
      <c r="H226" s="64">
        <v>0</v>
      </c>
      <c r="I226" s="34">
        <f>ROUND(G226*H226,2)</f>
        <v>0</v>
      </c>
      <c r="J226" s="65" t="s">
        <v>133</v>
      </c>
      <c r="K226" s="59"/>
      <c r="Z226" s="34">
        <f>ROUND(IF(AQ226="5",BJ226,0),2)</f>
        <v>0</v>
      </c>
      <c r="AB226" s="34">
        <f>ROUND(IF(AQ226="1",BH226,0),2)</f>
        <v>0</v>
      </c>
      <c r="AC226" s="34">
        <f>ROUND(IF(AQ226="1",BI226,0),2)</f>
        <v>0</v>
      </c>
      <c r="AD226" s="34">
        <f>ROUND(IF(AQ226="7",BH226,0),2)</f>
        <v>0</v>
      </c>
      <c r="AE226" s="34">
        <f>ROUND(IF(AQ226="7",BI226,0),2)</f>
        <v>0</v>
      </c>
      <c r="AF226" s="34">
        <f>ROUND(IF(AQ226="2",BH226,0),2)</f>
        <v>0</v>
      </c>
      <c r="AG226" s="34">
        <f>ROUND(IF(AQ226="2",BI226,0),2)</f>
        <v>0</v>
      </c>
      <c r="AH226" s="34">
        <f>ROUND(IF(AQ226="0",BJ226,0),2)</f>
        <v>0</v>
      </c>
      <c r="AI226" s="46" t="s">
        <v>84</v>
      </c>
      <c r="AJ226" s="34">
        <f>IF(AN226=0,I226,0)</f>
        <v>0</v>
      </c>
      <c r="AK226" s="34">
        <f>IF(AN226=12,I226,0)</f>
        <v>0</v>
      </c>
      <c r="AL226" s="34">
        <f>IF(AN226=21,I226,0)</f>
        <v>0</v>
      </c>
      <c r="AN226" s="34">
        <v>21</v>
      </c>
      <c r="AO226" s="34">
        <f>H226*0.16202946</f>
        <v>0</v>
      </c>
      <c r="AP226" s="34">
        <f>H226*(1-0.16202946)</f>
        <v>0</v>
      </c>
      <c r="AQ226" s="65" t="s">
        <v>129</v>
      </c>
      <c r="AV226" s="34">
        <f>ROUND(AW226+AX226,2)</f>
        <v>0</v>
      </c>
      <c r="AW226" s="34">
        <f>ROUND(G226*AO226,2)</f>
        <v>0</v>
      </c>
      <c r="AX226" s="34">
        <f>ROUND(G226*AP226,2)</f>
        <v>0</v>
      </c>
      <c r="AY226" s="65" t="s">
        <v>506</v>
      </c>
      <c r="AZ226" s="65" t="s">
        <v>507</v>
      </c>
      <c r="BA226" s="46" t="s">
        <v>136</v>
      </c>
      <c r="BC226" s="34">
        <f>AW226+AX226</f>
        <v>0</v>
      </c>
      <c r="BD226" s="34">
        <f>H226/(100-BE226)*100</f>
        <v>0</v>
      </c>
      <c r="BE226" s="34">
        <v>0</v>
      </c>
      <c r="BF226" s="34">
        <f>226</f>
        <v>226</v>
      </c>
      <c r="BH226" s="34">
        <f>G226*AO226</f>
        <v>0</v>
      </c>
      <c r="BI226" s="34">
        <f>G226*AP226</f>
        <v>0</v>
      </c>
      <c r="BJ226" s="34">
        <f>G226*H226</f>
        <v>0</v>
      </c>
      <c r="BK226" s="34"/>
      <c r="BL226" s="34">
        <v>41</v>
      </c>
      <c r="BW226" s="34">
        <v>21</v>
      </c>
      <c r="BX226" s="3" t="s">
        <v>512</v>
      </c>
    </row>
    <row r="227" spans="1:76" x14ac:dyDescent="0.25">
      <c r="A227" s="66"/>
      <c r="D227" s="67" t="s">
        <v>236</v>
      </c>
      <c r="E227" s="67" t="s">
        <v>509</v>
      </c>
      <c r="G227" s="68">
        <v>15</v>
      </c>
      <c r="K227" s="59"/>
    </row>
    <row r="228" spans="1:76" x14ac:dyDescent="0.25">
      <c r="A228" s="1" t="s">
        <v>513</v>
      </c>
      <c r="B228" s="2" t="s">
        <v>84</v>
      </c>
      <c r="C228" s="2" t="s">
        <v>514</v>
      </c>
      <c r="D228" s="86" t="s">
        <v>515</v>
      </c>
      <c r="E228" s="81"/>
      <c r="F228" s="2" t="s">
        <v>239</v>
      </c>
      <c r="G228" s="34">
        <v>15</v>
      </c>
      <c r="H228" s="64">
        <v>0</v>
      </c>
      <c r="I228" s="34">
        <f>ROUND(G228*H228,2)</f>
        <v>0</v>
      </c>
      <c r="J228" s="65" t="s">
        <v>133</v>
      </c>
      <c r="K228" s="59"/>
      <c r="Z228" s="34">
        <f>ROUND(IF(AQ228="5",BJ228,0),2)</f>
        <v>0</v>
      </c>
      <c r="AB228" s="34">
        <f>ROUND(IF(AQ228="1",BH228,0),2)</f>
        <v>0</v>
      </c>
      <c r="AC228" s="34">
        <f>ROUND(IF(AQ228="1",BI228,0),2)</f>
        <v>0</v>
      </c>
      <c r="AD228" s="34">
        <f>ROUND(IF(AQ228="7",BH228,0),2)</f>
        <v>0</v>
      </c>
      <c r="AE228" s="34">
        <f>ROUND(IF(AQ228="7",BI228,0),2)</f>
        <v>0</v>
      </c>
      <c r="AF228" s="34">
        <f>ROUND(IF(AQ228="2",BH228,0),2)</f>
        <v>0</v>
      </c>
      <c r="AG228" s="34">
        <f>ROUND(IF(AQ228="2",BI228,0),2)</f>
        <v>0</v>
      </c>
      <c r="AH228" s="34">
        <f>ROUND(IF(AQ228="0",BJ228,0),2)</f>
        <v>0</v>
      </c>
      <c r="AI228" s="46" t="s">
        <v>84</v>
      </c>
      <c r="AJ228" s="34">
        <f>IF(AN228=0,I228,0)</f>
        <v>0</v>
      </c>
      <c r="AK228" s="34">
        <f>IF(AN228=12,I228,0)</f>
        <v>0</v>
      </c>
      <c r="AL228" s="34">
        <f>IF(AN228=21,I228,0)</f>
        <v>0</v>
      </c>
      <c r="AN228" s="34">
        <v>21</v>
      </c>
      <c r="AO228" s="34">
        <f>H228*0</f>
        <v>0</v>
      </c>
      <c r="AP228" s="34">
        <f>H228*(1-0)</f>
        <v>0</v>
      </c>
      <c r="AQ228" s="65" t="s">
        <v>129</v>
      </c>
      <c r="AV228" s="34">
        <f>ROUND(AW228+AX228,2)</f>
        <v>0</v>
      </c>
      <c r="AW228" s="34">
        <f>ROUND(G228*AO228,2)</f>
        <v>0</v>
      </c>
      <c r="AX228" s="34">
        <f>ROUND(G228*AP228,2)</f>
        <v>0</v>
      </c>
      <c r="AY228" s="65" t="s">
        <v>506</v>
      </c>
      <c r="AZ228" s="65" t="s">
        <v>507</v>
      </c>
      <c r="BA228" s="46" t="s">
        <v>136</v>
      </c>
      <c r="BC228" s="34">
        <f>AW228+AX228</f>
        <v>0</v>
      </c>
      <c r="BD228" s="34">
        <f>H228/(100-BE228)*100</f>
        <v>0</v>
      </c>
      <c r="BE228" s="34">
        <v>0</v>
      </c>
      <c r="BF228" s="34">
        <f>228</f>
        <v>228</v>
      </c>
      <c r="BH228" s="34">
        <f>G228*AO228</f>
        <v>0</v>
      </c>
      <c r="BI228" s="34">
        <f>G228*AP228</f>
        <v>0</v>
      </c>
      <c r="BJ228" s="34">
        <f>G228*H228</f>
        <v>0</v>
      </c>
      <c r="BK228" s="34"/>
      <c r="BL228" s="34">
        <v>41</v>
      </c>
      <c r="BW228" s="34">
        <v>21</v>
      </c>
      <c r="BX228" s="3" t="s">
        <v>515</v>
      </c>
    </row>
    <row r="229" spans="1:76" x14ac:dyDescent="0.25">
      <c r="A229" s="66"/>
      <c r="D229" s="67" t="s">
        <v>236</v>
      </c>
      <c r="E229" s="67" t="s">
        <v>4</v>
      </c>
      <c r="G229" s="68">
        <v>15</v>
      </c>
      <c r="K229" s="59"/>
    </row>
    <row r="230" spans="1:76" x14ac:dyDescent="0.25">
      <c r="A230" s="1" t="s">
        <v>516</v>
      </c>
      <c r="B230" s="2" t="s">
        <v>84</v>
      </c>
      <c r="C230" s="2" t="s">
        <v>517</v>
      </c>
      <c r="D230" s="86" t="s">
        <v>518</v>
      </c>
      <c r="E230" s="81"/>
      <c r="F230" s="2" t="s">
        <v>178</v>
      </c>
      <c r="G230" s="34">
        <v>0.16625999999999999</v>
      </c>
      <c r="H230" s="64">
        <v>0</v>
      </c>
      <c r="I230" s="34">
        <f>ROUND(G230*H230,2)</f>
        <v>0</v>
      </c>
      <c r="J230" s="65" t="s">
        <v>133</v>
      </c>
      <c r="K230" s="59"/>
      <c r="Z230" s="34">
        <f>ROUND(IF(AQ230="5",BJ230,0),2)</f>
        <v>0</v>
      </c>
      <c r="AB230" s="34">
        <f>ROUND(IF(AQ230="1",BH230,0),2)</f>
        <v>0</v>
      </c>
      <c r="AC230" s="34">
        <f>ROUND(IF(AQ230="1",BI230,0),2)</f>
        <v>0</v>
      </c>
      <c r="AD230" s="34">
        <f>ROUND(IF(AQ230="7",BH230,0),2)</f>
        <v>0</v>
      </c>
      <c r="AE230" s="34">
        <f>ROUND(IF(AQ230="7",BI230,0),2)</f>
        <v>0</v>
      </c>
      <c r="AF230" s="34">
        <f>ROUND(IF(AQ230="2",BH230,0),2)</f>
        <v>0</v>
      </c>
      <c r="AG230" s="34">
        <f>ROUND(IF(AQ230="2",BI230,0),2)</f>
        <v>0</v>
      </c>
      <c r="AH230" s="34">
        <f>ROUND(IF(AQ230="0",BJ230,0),2)</f>
        <v>0</v>
      </c>
      <c r="AI230" s="46" t="s">
        <v>84</v>
      </c>
      <c r="AJ230" s="34">
        <f>IF(AN230=0,I230,0)</f>
        <v>0</v>
      </c>
      <c r="AK230" s="34">
        <f>IF(AN230=12,I230,0)</f>
        <v>0</v>
      </c>
      <c r="AL230" s="34">
        <f>IF(AN230=21,I230,0)</f>
        <v>0</v>
      </c>
      <c r="AN230" s="34">
        <v>21</v>
      </c>
      <c r="AO230" s="34">
        <f>H230*0.6900495</f>
        <v>0</v>
      </c>
      <c r="AP230" s="34">
        <f>H230*(1-0.6900495)</f>
        <v>0</v>
      </c>
      <c r="AQ230" s="65" t="s">
        <v>129</v>
      </c>
      <c r="AV230" s="34">
        <f>ROUND(AW230+AX230,2)</f>
        <v>0</v>
      </c>
      <c r="AW230" s="34">
        <f>ROUND(G230*AO230,2)</f>
        <v>0</v>
      </c>
      <c r="AX230" s="34">
        <f>ROUND(G230*AP230,2)</f>
        <v>0</v>
      </c>
      <c r="AY230" s="65" t="s">
        <v>506</v>
      </c>
      <c r="AZ230" s="65" t="s">
        <v>507</v>
      </c>
      <c r="BA230" s="46" t="s">
        <v>136</v>
      </c>
      <c r="BC230" s="34">
        <f>AW230+AX230</f>
        <v>0</v>
      </c>
      <c r="BD230" s="34">
        <f>H230/(100-BE230)*100</f>
        <v>0</v>
      </c>
      <c r="BE230" s="34">
        <v>0</v>
      </c>
      <c r="BF230" s="34">
        <f>230</f>
        <v>230</v>
      </c>
      <c r="BH230" s="34">
        <f>G230*AO230</f>
        <v>0</v>
      </c>
      <c r="BI230" s="34">
        <f>G230*AP230</f>
        <v>0</v>
      </c>
      <c r="BJ230" s="34">
        <f>G230*H230</f>
        <v>0</v>
      </c>
      <c r="BK230" s="34"/>
      <c r="BL230" s="34">
        <v>41</v>
      </c>
      <c r="BW230" s="34">
        <v>21</v>
      </c>
      <c r="BX230" s="3" t="s">
        <v>518</v>
      </c>
    </row>
    <row r="231" spans="1:76" x14ac:dyDescent="0.25">
      <c r="A231" s="66"/>
      <c r="D231" s="67" t="s">
        <v>519</v>
      </c>
      <c r="E231" s="67" t="s">
        <v>520</v>
      </c>
      <c r="G231" s="68">
        <v>5.8740000000000001E-2</v>
      </c>
      <c r="K231" s="59"/>
    </row>
    <row r="232" spans="1:76" x14ac:dyDescent="0.25">
      <c r="A232" s="66"/>
      <c r="D232" s="67" t="s">
        <v>521</v>
      </c>
      <c r="E232" s="67" t="s">
        <v>522</v>
      </c>
      <c r="G232" s="68">
        <v>1.5180000000000001E-2</v>
      </c>
      <c r="K232" s="59"/>
    </row>
    <row r="233" spans="1:76" x14ac:dyDescent="0.25">
      <c r="A233" s="66"/>
      <c r="D233" s="67" t="s">
        <v>523</v>
      </c>
      <c r="E233" s="67" t="s">
        <v>524</v>
      </c>
      <c r="G233" s="68">
        <v>7.2980000000000003E-2</v>
      </c>
      <c r="K233" s="59"/>
    </row>
    <row r="234" spans="1:76" x14ac:dyDescent="0.25">
      <c r="A234" s="66"/>
      <c r="D234" s="67" t="s">
        <v>525</v>
      </c>
      <c r="E234" s="67" t="s">
        <v>526</v>
      </c>
      <c r="G234" s="68">
        <v>1.9359999999999999E-2</v>
      </c>
      <c r="K234" s="59"/>
    </row>
    <row r="235" spans="1:76" x14ac:dyDescent="0.25">
      <c r="A235" s="1" t="s">
        <v>527</v>
      </c>
      <c r="B235" s="2" t="s">
        <v>84</v>
      </c>
      <c r="C235" s="2" t="s">
        <v>528</v>
      </c>
      <c r="D235" s="86" t="s">
        <v>529</v>
      </c>
      <c r="E235" s="81"/>
      <c r="F235" s="2" t="s">
        <v>178</v>
      </c>
      <c r="G235" s="34">
        <v>2.376E-2</v>
      </c>
      <c r="H235" s="64">
        <v>0</v>
      </c>
      <c r="I235" s="34">
        <f>ROUND(G235*H235,2)</f>
        <v>0</v>
      </c>
      <c r="J235" s="65" t="s">
        <v>133</v>
      </c>
      <c r="K235" s="59"/>
      <c r="Z235" s="34">
        <f>ROUND(IF(AQ235="5",BJ235,0),2)</f>
        <v>0</v>
      </c>
      <c r="AB235" s="34">
        <f>ROUND(IF(AQ235="1",BH235,0),2)</f>
        <v>0</v>
      </c>
      <c r="AC235" s="34">
        <f>ROUND(IF(AQ235="1",BI235,0),2)</f>
        <v>0</v>
      </c>
      <c r="AD235" s="34">
        <f>ROUND(IF(AQ235="7",BH235,0),2)</f>
        <v>0</v>
      </c>
      <c r="AE235" s="34">
        <f>ROUND(IF(AQ235="7",BI235,0),2)</f>
        <v>0</v>
      </c>
      <c r="AF235" s="34">
        <f>ROUND(IF(AQ235="2",BH235,0),2)</f>
        <v>0</v>
      </c>
      <c r="AG235" s="34">
        <f>ROUND(IF(AQ235="2",BI235,0),2)</f>
        <v>0</v>
      </c>
      <c r="AH235" s="34">
        <f>ROUND(IF(AQ235="0",BJ235,0),2)</f>
        <v>0</v>
      </c>
      <c r="AI235" s="46" t="s">
        <v>84</v>
      </c>
      <c r="AJ235" s="34">
        <f>IF(AN235=0,I235,0)</f>
        <v>0</v>
      </c>
      <c r="AK235" s="34">
        <f>IF(AN235=12,I235,0)</f>
        <v>0</v>
      </c>
      <c r="AL235" s="34">
        <f>IF(AN235=21,I235,0)</f>
        <v>0</v>
      </c>
      <c r="AN235" s="34">
        <v>21</v>
      </c>
      <c r="AO235" s="34">
        <f>H235*0.810718348</f>
        <v>0</v>
      </c>
      <c r="AP235" s="34">
        <f>H235*(1-0.810718348)</f>
        <v>0</v>
      </c>
      <c r="AQ235" s="65" t="s">
        <v>129</v>
      </c>
      <c r="AV235" s="34">
        <f>ROUND(AW235+AX235,2)</f>
        <v>0</v>
      </c>
      <c r="AW235" s="34">
        <f>ROUND(G235*AO235,2)</f>
        <v>0</v>
      </c>
      <c r="AX235" s="34">
        <f>ROUND(G235*AP235,2)</f>
        <v>0</v>
      </c>
      <c r="AY235" s="65" t="s">
        <v>506</v>
      </c>
      <c r="AZ235" s="65" t="s">
        <v>507</v>
      </c>
      <c r="BA235" s="46" t="s">
        <v>136</v>
      </c>
      <c r="BC235" s="34">
        <f>AW235+AX235</f>
        <v>0</v>
      </c>
      <c r="BD235" s="34">
        <f>H235/(100-BE235)*100</f>
        <v>0</v>
      </c>
      <c r="BE235" s="34">
        <v>0</v>
      </c>
      <c r="BF235" s="34">
        <f>235</f>
        <v>235</v>
      </c>
      <c r="BH235" s="34">
        <f>G235*AO235</f>
        <v>0</v>
      </c>
      <c r="BI235" s="34">
        <f>G235*AP235</f>
        <v>0</v>
      </c>
      <c r="BJ235" s="34">
        <f>G235*H235</f>
        <v>0</v>
      </c>
      <c r="BK235" s="34"/>
      <c r="BL235" s="34">
        <v>41</v>
      </c>
      <c r="BW235" s="34">
        <v>21</v>
      </c>
      <c r="BX235" s="3" t="s">
        <v>529</v>
      </c>
    </row>
    <row r="236" spans="1:76" ht="13.5" customHeight="1" x14ac:dyDescent="0.25">
      <c r="A236" s="66"/>
      <c r="C236" s="69" t="s">
        <v>204</v>
      </c>
      <c r="D236" s="169" t="s">
        <v>530</v>
      </c>
      <c r="E236" s="170"/>
      <c r="F236" s="170"/>
      <c r="G236" s="170"/>
      <c r="H236" s="171"/>
      <c r="I236" s="170"/>
      <c r="J236" s="170"/>
      <c r="K236" s="172"/>
    </row>
    <row r="237" spans="1:76" x14ac:dyDescent="0.25">
      <c r="A237" s="66"/>
      <c r="D237" s="67" t="s">
        <v>531</v>
      </c>
      <c r="E237" s="67" t="s">
        <v>532</v>
      </c>
      <c r="G237" s="68">
        <v>2.376E-2</v>
      </c>
      <c r="K237" s="59"/>
    </row>
    <row r="238" spans="1:76" x14ac:dyDescent="0.25">
      <c r="A238" s="1" t="s">
        <v>533</v>
      </c>
      <c r="B238" s="2" t="s">
        <v>84</v>
      </c>
      <c r="C238" s="2" t="s">
        <v>534</v>
      </c>
      <c r="D238" s="86" t="s">
        <v>535</v>
      </c>
      <c r="E238" s="81"/>
      <c r="F238" s="2" t="s">
        <v>143</v>
      </c>
      <c r="G238" s="34">
        <v>16.34</v>
      </c>
      <c r="H238" s="64">
        <v>0</v>
      </c>
      <c r="I238" s="34">
        <f>ROUND(G238*H238,2)</f>
        <v>0</v>
      </c>
      <c r="J238" s="65" t="s">
        <v>133</v>
      </c>
      <c r="K238" s="59"/>
      <c r="Z238" s="34">
        <f>ROUND(IF(AQ238="5",BJ238,0),2)</f>
        <v>0</v>
      </c>
      <c r="AB238" s="34">
        <f>ROUND(IF(AQ238="1",BH238,0),2)</f>
        <v>0</v>
      </c>
      <c r="AC238" s="34">
        <f>ROUND(IF(AQ238="1",BI238,0),2)</f>
        <v>0</v>
      </c>
      <c r="AD238" s="34">
        <f>ROUND(IF(AQ238="7",BH238,0),2)</f>
        <v>0</v>
      </c>
      <c r="AE238" s="34">
        <f>ROUND(IF(AQ238="7",BI238,0),2)</f>
        <v>0</v>
      </c>
      <c r="AF238" s="34">
        <f>ROUND(IF(AQ238="2",BH238,0),2)</f>
        <v>0</v>
      </c>
      <c r="AG238" s="34">
        <f>ROUND(IF(AQ238="2",BI238,0),2)</f>
        <v>0</v>
      </c>
      <c r="AH238" s="34">
        <f>ROUND(IF(AQ238="0",BJ238,0),2)</f>
        <v>0</v>
      </c>
      <c r="AI238" s="46" t="s">
        <v>84</v>
      </c>
      <c r="AJ238" s="34">
        <f>IF(AN238=0,I238,0)</f>
        <v>0</v>
      </c>
      <c r="AK238" s="34">
        <f>IF(AN238=12,I238,0)</f>
        <v>0</v>
      </c>
      <c r="AL238" s="34">
        <f>IF(AN238=21,I238,0)</f>
        <v>0</v>
      </c>
      <c r="AN238" s="34">
        <v>21</v>
      </c>
      <c r="AO238" s="34">
        <f>H238*0.859376249</f>
        <v>0</v>
      </c>
      <c r="AP238" s="34">
        <f>H238*(1-0.859376249)</f>
        <v>0</v>
      </c>
      <c r="AQ238" s="65" t="s">
        <v>129</v>
      </c>
      <c r="AV238" s="34">
        <f>ROUND(AW238+AX238,2)</f>
        <v>0</v>
      </c>
      <c r="AW238" s="34">
        <f>ROUND(G238*AO238,2)</f>
        <v>0</v>
      </c>
      <c r="AX238" s="34">
        <f>ROUND(G238*AP238,2)</f>
        <v>0</v>
      </c>
      <c r="AY238" s="65" t="s">
        <v>506</v>
      </c>
      <c r="AZ238" s="65" t="s">
        <v>507</v>
      </c>
      <c r="BA238" s="46" t="s">
        <v>136</v>
      </c>
      <c r="BC238" s="34">
        <f>AW238+AX238</f>
        <v>0</v>
      </c>
      <c r="BD238" s="34">
        <f>H238/(100-BE238)*100</f>
        <v>0</v>
      </c>
      <c r="BE238" s="34">
        <v>0</v>
      </c>
      <c r="BF238" s="34">
        <f>238</f>
        <v>238</v>
      </c>
      <c r="BH238" s="34">
        <f>G238*AO238</f>
        <v>0</v>
      </c>
      <c r="BI238" s="34">
        <f>G238*AP238</f>
        <v>0</v>
      </c>
      <c r="BJ238" s="34">
        <f>G238*H238</f>
        <v>0</v>
      </c>
      <c r="BK238" s="34"/>
      <c r="BL238" s="34">
        <v>41</v>
      </c>
      <c r="BW238" s="34">
        <v>21</v>
      </c>
      <c r="BX238" s="3" t="s">
        <v>535</v>
      </c>
    </row>
    <row r="239" spans="1:76" x14ac:dyDescent="0.25">
      <c r="A239" s="66"/>
      <c r="D239" s="67" t="s">
        <v>536</v>
      </c>
      <c r="E239" s="67" t="s">
        <v>537</v>
      </c>
      <c r="G239" s="68">
        <v>13.95</v>
      </c>
      <c r="K239" s="59"/>
    </row>
    <row r="240" spans="1:76" x14ac:dyDescent="0.25">
      <c r="A240" s="66"/>
      <c r="D240" s="67" t="s">
        <v>538</v>
      </c>
      <c r="E240" s="67" t="s">
        <v>539</v>
      </c>
      <c r="G240" s="68">
        <v>0.9</v>
      </c>
      <c r="K240" s="59"/>
    </row>
    <row r="241" spans="1:76" x14ac:dyDescent="0.25">
      <c r="A241" s="66"/>
      <c r="D241" s="67" t="s">
        <v>540</v>
      </c>
      <c r="E241" s="67" t="s">
        <v>541</v>
      </c>
      <c r="G241" s="68">
        <v>0.24</v>
      </c>
      <c r="K241" s="59"/>
    </row>
    <row r="242" spans="1:76" x14ac:dyDescent="0.25">
      <c r="A242" s="66"/>
      <c r="D242" s="67" t="s">
        <v>542</v>
      </c>
      <c r="E242" s="67" t="s">
        <v>543</v>
      </c>
      <c r="G242" s="68">
        <v>0.6</v>
      </c>
      <c r="K242" s="59"/>
    </row>
    <row r="243" spans="1:76" x14ac:dyDescent="0.25">
      <c r="A243" s="66"/>
      <c r="D243" s="67" t="s">
        <v>544</v>
      </c>
      <c r="E243" s="67" t="s">
        <v>545</v>
      </c>
      <c r="G243" s="68">
        <v>0.65</v>
      </c>
      <c r="K243" s="59"/>
    </row>
    <row r="244" spans="1:76" x14ac:dyDescent="0.25">
      <c r="A244" s="1" t="s">
        <v>546</v>
      </c>
      <c r="B244" s="2" t="s">
        <v>84</v>
      </c>
      <c r="C244" s="2" t="s">
        <v>547</v>
      </c>
      <c r="D244" s="86" t="s">
        <v>529</v>
      </c>
      <c r="E244" s="81"/>
      <c r="F244" s="2" t="s">
        <v>178</v>
      </c>
      <c r="G244" s="34">
        <v>0.90576000000000001</v>
      </c>
      <c r="H244" s="64">
        <v>0</v>
      </c>
      <c r="I244" s="34">
        <f>ROUND(G244*H244,2)</f>
        <v>0</v>
      </c>
      <c r="J244" s="65" t="s">
        <v>133</v>
      </c>
      <c r="K244" s="59"/>
      <c r="Z244" s="34">
        <f>ROUND(IF(AQ244="5",BJ244,0),2)</f>
        <v>0</v>
      </c>
      <c r="AB244" s="34">
        <f>ROUND(IF(AQ244="1",BH244,0),2)</f>
        <v>0</v>
      </c>
      <c r="AC244" s="34">
        <f>ROUND(IF(AQ244="1",BI244,0),2)</f>
        <v>0</v>
      </c>
      <c r="AD244" s="34">
        <f>ROUND(IF(AQ244="7",BH244,0),2)</f>
        <v>0</v>
      </c>
      <c r="AE244" s="34">
        <f>ROUND(IF(AQ244="7",BI244,0),2)</f>
        <v>0</v>
      </c>
      <c r="AF244" s="34">
        <f>ROUND(IF(AQ244="2",BH244,0),2)</f>
        <v>0</v>
      </c>
      <c r="AG244" s="34">
        <f>ROUND(IF(AQ244="2",BI244,0),2)</f>
        <v>0</v>
      </c>
      <c r="AH244" s="34">
        <f>ROUND(IF(AQ244="0",BJ244,0),2)</f>
        <v>0</v>
      </c>
      <c r="AI244" s="46" t="s">
        <v>84</v>
      </c>
      <c r="AJ244" s="34">
        <f>IF(AN244=0,I244,0)</f>
        <v>0</v>
      </c>
      <c r="AK244" s="34">
        <f>IF(AN244=12,I244,0)</f>
        <v>0</v>
      </c>
      <c r="AL244" s="34">
        <f>IF(AN244=21,I244,0)</f>
        <v>0</v>
      </c>
      <c r="AN244" s="34">
        <v>21</v>
      </c>
      <c r="AO244" s="34">
        <f>H244*0.785258984</f>
        <v>0</v>
      </c>
      <c r="AP244" s="34">
        <f>H244*(1-0.785258984)</f>
        <v>0</v>
      </c>
      <c r="AQ244" s="65" t="s">
        <v>129</v>
      </c>
      <c r="AV244" s="34">
        <f>ROUND(AW244+AX244,2)</f>
        <v>0</v>
      </c>
      <c r="AW244" s="34">
        <f>ROUND(G244*AO244,2)</f>
        <v>0</v>
      </c>
      <c r="AX244" s="34">
        <f>ROUND(G244*AP244,2)</f>
        <v>0</v>
      </c>
      <c r="AY244" s="65" t="s">
        <v>506</v>
      </c>
      <c r="AZ244" s="65" t="s">
        <v>507</v>
      </c>
      <c r="BA244" s="46" t="s">
        <v>136</v>
      </c>
      <c r="BC244" s="34">
        <f>AW244+AX244</f>
        <v>0</v>
      </c>
      <c r="BD244" s="34">
        <f>H244/(100-BE244)*100</f>
        <v>0</v>
      </c>
      <c r="BE244" s="34">
        <v>0</v>
      </c>
      <c r="BF244" s="34">
        <f>244</f>
        <v>244</v>
      </c>
      <c r="BH244" s="34">
        <f>G244*AO244</f>
        <v>0</v>
      </c>
      <c r="BI244" s="34">
        <f>G244*AP244</f>
        <v>0</v>
      </c>
      <c r="BJ244" s="34">
        <f>G244*H244</f>
        <v>0</v>
      </c>
      <c r="BK244" s="34"/>
      <c r="BL244" s="34">
        <v>41</v>
      </c>
      <c r="BW244" s="34">
        <v>21</v>
      </c>
      <c r="BX244" s="3" t="s">
        <v>529</v>
      </c>
    </row>
    <row r="245" spans="1:76" ht="13.5" customHeight="1" x14ac:dyDescent="0.25">
      <c r="A245" s="66"/>
      <c r="C245" s="69" t="s">
        <v>204</v>
      </c>
      <c r="D245" s="169" t="s">
        <v>548</v>
      </c>
      <c r="E245" s="170"/>
      <c r="F245" s="170"/>
      <c r="G245" s="170"/>
      <c r="H245" s="171"/>
      <c r="I245" s="170"/>
      <c r="J245" s="170"/>
      <c r="K245" s="172"/>
    </row>
    <row r="246" spans="1:76" x14ac:dyDescent="0.25">
      <c r="A246" s="66"/>
      <c r="D246" s="67" t="s">
        <v>549</v>
      </c>
      <c r="E246" s="67" t="s">
        <v>550</v>
      </c>
      <c r="G246" s="68">
        <v>0.79920000000000002</v>
      </c>
      <c r="K246" s="59"/>
    </row>
    <row r="247" spans="1:76" x14ac:dyDescent="0.25">
      <c r="A247" s="66"/>
      <c r="D247" s="67" t="s">
        <v>551</v>
      </c>
      <c r="E247" s="67" t="s">
        <v>552</v>
      </c>
      <c r="G247" s="68">
        <v>5.3280000000000001E-2</v>
      </c>
      <c r="K247" s="59"/>
    </row>
    <row r="248" spans="1:76" x14ac:dyDescent="0.25">
      <c r="A248" s="66"/>
      <c r="D248" s="67" t="s">
        <v>551</v>
      </c>
      <c r="E248" s="67" t="s">
        <v>553</v>
      </c>
      <c r="G248" s="68">
        <v>5.3280000000000001E-2</v>
      </c>
      <c r="K248" s="59"/>
    </row>
    <row r="249" spans="1:76" x14ac:dyDescent="0.25">
      <c r="A249" s="1" t="s">
        <v>554</v>
      </c>
      <c r="B249" s="2" t="s">
        <v>84</v>
      </c>
      <c r="C249" s="2" t="s">
        <v>555</v>
      </c>
      <c r="D249" s="86" t="s">
        <v>556</v>
      </c>
      <c r="E249" s="81"/>
      <c r="F249" s="2" t="s">
        <v>178</v>
      </c>
      <c r="G249" s="34">
        <v>0.41911999999999999</v>
      </c>
      <c r="H249" s="64">
        <v>0</v>
      </c>
      <c r="I249" s="34">
        <f>ROUND(G249*H249,2)</f>
        <v>0</v>
      </c>
      <c r="J249" s="65" t="s">
        <v>133</v>
      </c>
      <c r="K249" s="59"/>
      <c r="Z249" s="34">
        <f>ROUND(IF(AQ249="5",BJ249,0),2)</f>
        <v>0</v>
      </c>
      <c r="AB249" s="34">
        <f>ROUND(IF(AQ249="1",BH249,0),2)</f>
        <v>0</v>
      </c>
      <c r="AC249" s="34">
        <f>ROUND(IF(AQ249="1",BI249,0),2)</f>
        <v>0</v>
      </c>
      <c r="AD249" s="34">
        <f>ROUND(IF(AQ249="7",BH249,0),2)</f>
        <v>0</v>
      </c>
      <c r="AE249" s="34">
        <f>ROUND(IF(AQ249="7",BI249,0),2)</f>
        <v>0</v>
      </c>
      <c r="AF249" s="34">
        <f>ROUND(IF(AQ249="2",BH249,0),2)</f>
        <v>0</v>
      </c>
      <c r="AG249" s="34">
        <f>ROUND(IF(AQ249="2",BI249,0),2)</f>
        <v>0</v>
      </c>
      <c r="AH249" s="34">
        <f>ROUND(IF(AQ249="0",BJ249,0),2)</f>
        <v>0</v>
      </c>
      <c r="AI249" s="46" t="s">
        <v>84</v>
      </c>
      <c r="AJ249" s="34">
        <f>IF(AN249=0,I249,0)</f>
        <v>0</v>
      </c>
      <c r="AK249" s="34">
        <f>IF(AN249=12,I249,0)</f>
        <v>0</v>
      </c>
      <c r="AL249" s="34">
        <f>IF(AN249=21,I249,0)</f>
        <v>0</v>
      </c>
      <c r="AN249" s="34">
        <v>21</v>
      </c>
      <c r="AO249" s="34">
        <f>H249*0.705431143</f>
        <v>0</v>
      </c>
      <c r="AP249" s="34">
        <f>H249*(1-0.705431143)</f>
        <v>0</v>
      </c>
      <c r="AQ249" s="65" t="s">
        <v>129</v>
      </c>
      <c r="AV249" s="34">
        <f>ROUND(AW249+AX249,2)</f>
        <v>0</v>
      </c>
      <c r="AW249" s="34">
        <f>ROUND(G249*AO249,2)</f>
        <v>0</v>
      </c>
      <c r="AX249" s="34">
        <f>ROUND(G249*AP249,2)</f>
        <v>0</v>
      </c>
      <c r="AY249" s="65" t="s">
        <v>506</v>
      </c>
      <c r="AZ249" s="65" t="s">
        <v>507</v>
      </c>
      <c r="BA249" s="46" t="s">
        <v>136</v>
      </c>
      <c r="BC249" s="34">
        <f>AW249+AX249</f>
        <v>0</v>
      </c>
      <c r="BD249" s="34">
        <f>H249/(100-BE249)*100</f>
        <v>0</v>
      </c>
      <c r="BE249" s="34">
        <v>0</v>
      </c>
      <c r="BF249" s="34">
        <f>249</f>
        <v>249</v>
      </c>
      <c r="BH249" s="34">
        <f>G249*AO249</f>
        <v>0</v>
      </c>
      <c r="BI249" s="34">
        <f>G249*AP249</f>
        <v>0</v>
      </c>
      <c r="BJ249" s="34">
        <f>G249*H249</f>
        <v>0</v>
      </c>
      <c r="BK249" s="34"/>
      <c r="BL249" s="34">
        <v>41</v>
      </c>
      <c r="BW249" s="34">
        <v>21</v>
      </c>
      <c r="BX249" s="3" t="s">
        <v>556</v>
      </c>
    </row>
    <row r="250" spans="1:76" x14ac:dyDescent="0.25">
      <c r="A250" s="66"/>
      <c r="D250" s="67" t="s">
        <v>557</v>
      </c>
      <c r="E250" s="67" t="s">
        <v>558</v>
      </c>
      <c r="G250" s="68">
        <v>0.3906</v>
      </c>
      <c r="K250" s="59"/>
    </row>
    <row r="251" spans="1:76" x14ac:dyDescent="0.25">
      <c r="A251" s="66"/>
      <c r="D251" s="67" t="s">
        <v>559</v>
      </c>
      <c r="E251" s="67" t="s">
        <v>560</v>
      </c>
      <c r="G251" s="68">
        <v>9.2999999999999992E-3</v>
      </c>
      <c r="K251" s="59"/>
    </row>
    <row r="252" spans="1:76" x14ac:dyDescent="0.25">
      <c r="A252" s="66"/>
      <c r="D252" s="67" t="s">
        <v>561</v>
      </c>
      <c r="E252" s="67" t="s">
        <v>562</v>
      </c>
      <c r="G252" s="68">
        <v>1.9220000000000001E-2</v>
      </c>
      <c r="K252" s="59"/>
    </row>
    <row r="253" spans="1:76" x14ac:dyDescent="0.25">
      <c r="A253" s="1" t="s">
        <v>563</v>
      </c>
      <c r="B253" s="2" t="s">
        <v>84</v>
      </c>
      <c r="C253" s="2" t="s">
        <v>564</v>
      </c>
      <c r="D253" s="86" t="s">
        <v>565</v>
      </c>
      <c r="E253" s="81"/>
      <c r="F253" s="2" t="s">
        <v>239</v>
      </c>
      <c r="G253" s="34">
        <v>19.414999999999999</v>
      </c>
      <c r="H253" s="64">
        <v>0</v>
      </c>
      <c r="I253" s="34">
        <f>ROUND(G253*H253,2)</f>
        <v>0</v>
      </c>
      <c r="J253" s="65" t="s">
        <v>133</v>
      </c>
      <c r="K253" s="59"/>
      <c r="Z253" s="34">
        <f>ROUND(IF(AQ253="5",BJ253,0),2)</f>
        <v>0</v>
      </c>
      <c r="AB253" s="34">
        <f>ROUND(IF(AQ253="1",BH253,0),2)</f>
        <v>0</v>
      </c>
      <c r="AC253" s="34">
        <f>ROUND(IF(AQ253="1",BI253,0),2)</f>
        <v>0</v>
      </c>
      <c r="AD253" s="34">
        <f>ROUND(IF(AQ253="7",BH253,0),2)</f>
        <v>0</v>
      </c>
      <c r="AE253" s="34">
        <f>ROUND(IF(AQ253="7",BI253,0),2)</f>
        <v>0</v>
      </c>
      <c r="AF253" s="34">
        <f>ROUND(IF(AQ253="2",BH253,0),2)</f>
        <v>0</v>
      </c>
      <c r="AG253" s="34">
        <f>ROUND(IF(AQ253="2",BI253,0),2)</f>
        <v>0</v>
      </c>
      <c r="AH253" s="34">
        <f>ROUND(IF(AQ253="0",BJ253,0),2)</f>
        <v>0</v>
      </c>
      <c r="AI253" s="46" t="s">
        <v>84</v>
      </c>
      <c r="AJ253" s="34">
        <f>IF(AN253=0,I253,0)</f>
        <v>0</v>
      </c>
      <c r="AK253" s="34">
        <f>IF(AN253=12,I253,0)</f>
        <v>0</v>
      </c>
      <c r="AL253" s="34">
        <f>IF(AN253=21,I253,0)</f>
        <v>0</v>
      </c>
      <c r="AN253" s="34">
        <v>21</v>
      </c>
      <c r="AO253" s="34">
        <f>H253*0.62169537</f>
        <v>0</v>
      </c>
      <c r="AP253" s="34">
        <f>H253*(1-0.62169537)</f>
        <v>0</v>
      </c>
      <c r="AQ253" s="65" t="s">
        <v>129</v>
      </c>
      <c r="AV253" s="34">
        <f>ROUND(AW253+AX253,2)</f>
        <v>0</v>
      </c>
      <c r="AW253" s="34">
        <f>ROUND(G253*AO253,2)</f>
        <v>0</v>
      </c>
      <c r="AX253" s="34">
        <f>ROUND(G253*AP253,2)</f>
        <v>0</v>
      </c>
      <c r="AY253" s="65" t="s">
        <v>506</v>
      </c>
      <c r="AZ253" s="65" t="s">
        <v>507</v>
      </c>
      <c r="BA253" s="46" t="s">
        <v>136</v>
      </c>
      <c r="BC253" s="34">
        <f>AW253+AX253</f>
        <v>0</v>
      </c>
      <c r="BD253" s="34">
        <f>H253/(100-BE253)*100</f>
        <v>0</v>
      </c>
      <c r="BE253" s="34">
        <v>0</v>
      </c>
      <c r="BF253" s="34">
        <f>253</f>
        <v>253</v>
      </c>
      <c r="BH253" s="34">
        <f>G253*AO253</f>
        <v>0</v>
      </c>
      <c r="BI253" s="34">
        <f>G253*AP253</f>
        <v>0</v>
      </c>
      <c r="BJ253" s="34">
        <f>G253*H253</f>
        <v>0</v>
      </c>
      <c r="BK253" s="34"/>
      <c r="BL253" s="34">
        <v>41</v>
      </c>
      <c r="BW253" s="34">
        <v>21</v>
      </c>
      <c r="BX253" s="3" t="s">
        <v>565</v>
      </c>
    </row>
    <row r="254" spans="1:76" ht="13.5" customHeight="1" x14ac:dyDescent="0.25">
      <c r="A254" s="66"/>
      <c r="C254" s="69" t="s">
        <v>204</v>
      </c>
      <c r="D254" s="169" t="s">
        <v>566</v>
      </c>
      <c r="E254" s="170"/>
      <c r="F254" s="170"/>
      <c r="G254" s="170"/>
      <c r="H254" s="171"/>
      <c r="I254" s="170"/>
      <c r="J254" s="170"/>
      <c r="K254" s="172"/>
    </row>
    <row r="255" spans="1:76" x14ac:dyDescent="0.25">
      <c r="A255" s="66"/>
      <c r="D255" s="67" t="s">
        <v>567</v>
      </c>
      <c r="E255" s="67" t="s">
        <v>568</v>
      </c>
      <c r="G255" s="68">
        <v>8.6</v>
      </c>
      <c r="K255" s="59"/>
    </row>
    <row r="256" spans="1:76" x14ac:dyDescent="0.25">
      <c r="A256" s="66"/>
      <c r="D256" s="67" t="s">
        <v>569</v>
      </c>
      <c r="E256" s="67" t="s">
        <v>570</v>
      </c>
      <c r="G256" s="68">
        <v>10.815</v>
      </c>
      <c r="K256" s="59"/>
    </row>
    <row r="257" spans="1:76" x14ac:dyDescent="0.25">
      <c r="A257" s="66"/>
      <c r="D257" s="67" t="s">
        <v>4</v>
      </c>
      <c r="E257" s="67" t="s">
        <v>571</v>
      </c>
      <c r="G257" s="68">
        <v>0</v>
      </c>
      <c r="K257" s="59"/>
    </row>
    <row r="258" spans="1:76" x14ac:dyDescent="0.25">
      <c r="A258" s="1" t="s">
        <v>572</v>
      </c>
      <c r="B258" s="2" t="s">
        <v>84</v>
      </c>
      <c r="C258" s="2" t="s">
        <v>573</v>
      </c>
      <c r="D258" s="86" t="s">
        <v>574</v>
      </c>
      <c r="E258" s="81"/>
      <c r="F258" s="2" t="s">
        <v>178</v>
      </c>
      <c r="G258" s="34">
        <v>1.3429999999999999E-2</v>
      </c>
      <c r="H258" s="64">
        <v>0</v>
      </c>
      <c r="I258" s="34">
        <f>ROUND(G258*H258,2)</f>
        <v>0</v>
      </c>
      <c r="J258" s="65" t="s">
        <v>133</v>
      </c>
      <c r="K258" s="59"/>
      <c r="Z258" s="34">
        <f>ROUND(IF(AQ258="5",BJ258,0),2)</f>
        <v>0</v>
      </c>
      <c r="AB258" s="34">
        <f>ROUND(IF(AQ258="1",BH258,0),2)</f>
        <v>0</v>
      </c>
      <c r="AC258" s="34">
        <f>ROUND(IF(AQ258="1",BI258,0),2)</f>
        <v>0</v>
      </c>
      <c r="AD258" s="34">
        <f>ROUND(IF(AQ258="7",BH258,0),2)</f>
        <v>0</v>
      </c>
      <c r="AE258" s="34">
        <f>ROUND(IF(AQ258="7",BI258,0),2)</f>
        <v>0</v>
      </c>
      <c r="AF258" s="34">
        <f>ROUND(IF(AQ258="2",BH258,0),2)</f>
        <v>0</v>
      </c>
      <c r="AG258" s="34">
        <f>ROUND(IF(AQ258="2",BI258,0),2)</f>
        <v>0</v>
      </c>
      <c r="AH258" s="34">
        <f>ROUND(IF(AQ258="0",BJ258,0),2)</f>
        <v>0</v>
      </c>
      <c r="AI258" s="46" t="s">
        <v>84</v>
      </c>
      <c r="AJ258" s="34">
        <f>IF(AN258=0,I258,0)</f>
        <v>0</v>
      </c>
      <c r="AK258" s="34">
        <f>IF(AN258=12,I258,0)</f>
        <v>0</v>
      </c>
      <c r="AL258" s="34">
        <f>IF(AN258=21,I258,0)</f>
        <v>0</v>
      </c>
      <c r="AN258" s="34">
        <v>21</v>
      </c>
      <c r="AO258" s="34">
        <f>H258*0.708930018</f>
        <v>0</v>
      </c>
      <c r="AP258" s="34">
        <f>H258*(1-0.708930018)</f>
        <v>0</v>
      </c>
      <c r="AQ258" s="65" t="s">
        <v>129</v>
      </c>
      <c r="AV258" s="34">
        <f>ROUND(AW258+AX258,2)</f>
        <v>0</v>
      </c>
      <c r="AW258" s="34">
        <f>ROUND(G258*AO258,2)</f>
        <v>0</v>
      </c>
      <c r="AX258" s="34">
        <f>ROUND(G258*AP258,2)</f>
        <v>0</v>
      </c>
      <c r="AY258" s="65" t="s">
        <v>506</v>
      </c>
      <c r="AZ258" s="65" t="s">
        <v>507</v>
      </c>
      <c r="BA258" s="46" t="s">
        <v>136</v>
      </c>
      <c r="BC258" s="34">
        <f>AW258+AX258</f>
        <v>0</v>
      </c>
      <c r="BD258" s="34">
        <f>H258/(100-BE258)*100</f>
        <v>0</v>
      </c>
      <c r="BE258" s="34">
        <v>0</v>
      </c>
      <c r="BF258" s="34">
        <f>258</f>
        <v>258</v>
      </c>
      <c r="BH258" s="34">
        <f>G258*AO258</f>
        <v>0</v>
      </c>
      <c r="BI258" s="34">
        <f>G258*AP258</f>
        <v>0</v>
      </c>
      <c r="BJ258" s="34">
        <f>G258*H258</f>
        <v>0</v>
      </c>
      <c r="BK258" s="34"/>
      <c r="BL258" s="34">
        <v>41</v>
      </c>
      <c r="BW258" s="34">
        <v>21</v>
      </c>
      <c r="BX258" s="3" t="s">
        <v>574</v>
      </c>
    </row>
    <row r="259" spans="1:76" ht="13.5" customHeight="1" x14ac:dyDescent="0.25">
      <c r="A259" s="66"/>
      <c r="C259" s="69" t="s">
        <v>204</v>
      </c>
      <c r="D259" s="169" t="s">
        <v>575</v>
      </c>
      <c r="E259" s="170"/>
      <c r="F259" s="170"/>
      <c r="G259" s="170"/>
      <c r="H259" s="171"/>
      <c r="I259" s="170"/>
      <c r="J259" s="170"/>
      <c r="K259" s="172"/>
    </row>
    <row r="260" spans="1:76" x14ac:dyDescent="0.25">
      <c r="A260" s="66"/>
      <c r="D260" s="67" t="s">
        <v>576</v>
      </c>
      <c r="E260" s="67" t="s">
        <v>577</v>
      </c>
      <c r="G260" s="68">
        <v>1.3429999999999999E-2</v>
      </c>
      <c r="K260" s="59"/>
    </row>
    <row r="261" spans="1:76" ht="25.5" x14ac:dyDescent="0.25">
      <c r="A261" s="1" t="s">
        <v>578</v>
      </c>
      <c r="B261" s="2" t="s">
        <v>84</v>
      </c>
      <c r="C261" s="2" t="s">
        <v>579</v>
      </c>
      <c r="D261" s="86" t="s">
        <v>580</v>
      </c>
      <c r="E261" s="81"/>
      <c r="F261" s="2" t="s">
        <v>132</v>
      </c>
      <c r="G261" s="34">
        <v>2</v>
      </c>
      <c r="H261" s="64">
        <v>0</v>
      </c>
      <c r="I261" s="34">
        <f>ROUND(G261*H261,2)</f>
        <v>0</v>
      </c>
      <c r="J261" s="65" t="s">
        <v>133</v>
      </c>
      <c r="K261" s="59"/>
      <c r="Z261" s="34">
        <f>ROUND(IF(AQ261="5",BJ261,0),2)</f>
        <v>0</v>
      </c>
      <c r="AB261" s="34">
        <f>ROUND(IF(AQ261="1",BH261,0),2)</f>
        <v>0</v>
      </c>
      <c r="AC261" s="34">
        <f>ROUND(IF(AQ261="1",BI261,0),2)</f>
        <v>0</v>
      </c>
      <c r="AD261" s="34">
        <f>ROUND(IF(AQ261="7",BH261,0),2)</f>
        <v>0</v>
      </c>
      <c r="AE261" s="34">
        <f>ROUND(IF(AQ261="7",BI261,0),2)</f>
        <v>0</v>
      </c>
      <c r="AF261" s="34">
        <f>ROUND(IF(AQ261="2",BH261,0),2)</f>
        <v>0</v>
      </c>
      <c r="AG261" s="34">
        <f>ROUND(IF(AQ261="2",BI261,0),2)</f>
        <v>0</v>
      </c>
      <c r="AH261" s="34">
        <f>ROUND(IF(AQ261="0",BJ261,0),2)</f>
        <v>0</v>
      </c>
      <c r="AI261" s="46" t="s">
        <v>84</v>
      </c>
      <c r="AJ261" s="34">
        <f>IF(AN261=0,I261,0)</f>
        <v>0</v>
      </c>
      <c r="AK261" s="34">
        <f>IF(AN261=12,I261,0)</f>
        <v>0</v>
      </c>
      <c r="AL261" s="34">
        <f>IF(AN261=21,I261,0)</f>
        <v>0</v>
      </c>
      <c r="AN261" s="34">
        <v>21</v>
      </c>
      <c r="AO261" s="34">
        <f>H261*0.922731959</f>
        <v>0</v>
      </c>
      <c r="AP261" s="34">
        <f>H261*(1-0.922731959)</f>
        <v>0</v>
      </c>
      <c r="AQ261" s="65" t="s">
        <v>129</v>
      </c>
      <c r="AV261" s="34">
        <f>ROUND(AW261+AX261,2)</f>
        <v>0</v>
      </c>
      <c r="AW261" s="34">
        <f>ROUND(G261*AO261,2)</f>
        <v>0</v>
      </c>
      <c r="AX261" s="34">
        <f>ROUND(G261*AP261,2)</f>
        <v>0</v>
      </c>
      <c r="AY261" s="65" t="s">
        <v>506</v>
      </c>
      <c r="AZ261" s="65" t="s">
        <v>507</v>
      </c>
      <c r="BA261" s="46" t="s">
        <v>136</v>
      </c>
      <c r="BC261" s="34">
        <f>AW261+AX261</f>
        <v>0</v>
      </c>
      <c r="BD261" s="34">
        <f>H261/(100-BE261)*100</f>
        <v>0</v>
      </c>
      <c r="BE261" s="34">
        <v>0</v>
      </c>
      <c r="BF261" s="34">
        <f>261</f>
        <v>261</v>
      </c>
      <c r="BH261" s="34">
        <f>G261*AO261</f>
        <v>0</v>
      </c>
      <c r="BI261" s="34">
        <f>G261*AP261</f>
        <v>0</v>
      </c>
      <c r="BJ261" s="34">
        <f>G261*H261</f>
        <v>0</v>
      </c>
      <c r="BK261" s="34"/>
      <c r="BL261" s="34">
        <v>41</v>
      </c>
      <c r="BW261" s="34">
        <v>21</v>
      </c>
      <c r="BX261" s="3" t="s">
        <v>580</v>
      </c>
    </row>
    <row r="262" spans="1:76" x14ac:dyDescent="0.25">
      <c r="A262" s="66"/>
      <c r="D262" s="67" t="s">
        <v>140</v>
      </c>
      <c r="E262" s="67" t="s">
        <v>581</v>
      </c>
      <c r="G262" s="68">
        <v>2</v>
      </c>
      <c r="K262" s="59"/>
    </row>
    <row r="263" spans="1:76" x14ac:dyDescent="0.25">
      <c r="A263" s="60" t="s">
        <v>4</v>
      </c>
      <c r="B263" s="61" t="s">
        <v>84</v>
      </c>
      <c r="C263" s="61" t="s">
        <v>415</v>
      </c>
      <c r="D263" s="167" t="s">
        <v>582</v>
      </c>
      <c r="E263" s="168"/>
      <c r="F263" s="62" t="s">
        <v>79</v>
      </c>
      <c r="G263" s="62" t="s">
        <v>79</v>
      </c>
      <c r="H263" s="63" t="s">
        <v>79</v>
      </c>
      <c r="I263" s="39">
        <f>SUM(I264:I264)</f>
        <v>0</v>
      </c>
      <c r="J263" s="46" t="s">
        <v>4</v>
      </c>
      <c r="K263" s="59"/>
      <c r="AI263" s="46" t="s">
        <v>84</v>
      </c>
      <c r="AS263" s="39">
        <f>SUM(AJ264:AJ264)</f>
        <v>0</v>
      </c>
      <c r="AT263" s="39">
        <f>SUM(AK264:AK264)</f>
        <v>0</v>
      </c>
      <c r="AU263" s="39">
        <f>SUM(AL264:AL264)</f>
        <v>0</v>
      </c>
    </row>
    <row r="264" spans="1:76" x14ac:dyDescent="0.25">
      <c r="A264" s="1" t="s">
        <v>583</v>
      </c>
      <c r="B264" s="2" t="s">
        <v>84</v>
      </c>
      <c r="C264" s="2" t="s">
        <v>584</v>
      </c>
      <c r="D264" s="86" t="s">
        <v>585</v>
      </c>
      <c r="E264" s="81"/>
      <c r="F264" s="2" t="s">
        <v>586</v>
      </c>
      <c r="G264" s="34">
        <v>1.8</v>
      </c>
      <c r="H264" s="64">
        <v>0</v>
      </c>
      <c r="I264" s="34">
        <f>ROUND(G264*H264,2)</f>
        <v>0</v>
      </c>
      <c r="J264" s="65" t="s">
        <v>133</v>
      </c>
      <c r="K264" s="59"/>
      <c r="Z264" s="34">
        <f>ROUND(IF(AQ264="5",BJ264,0),2)</f>
        <v>0</v>
      </c>
      <c r="AB264" s="34">
        <f>ROUND(IF(AQ264="1",BH264,0),2)</f>
        <v>0</v>
      </c>
      <c r="AC264" s="34">
        <f>ROUND(IF(AQ264="1",BI264,0),2)</f>
        <v>0</v>
      </c>
      <c r="AD264" s="34">
        <f>ROUND(IF(AQ264="7",BH264,0),2)</f>
        <v>0</v>
      </c>
      <c r="AE264" s="34">
        <f>ROUND(IF(AQ264="7",BI264,0),2)</f>
        <v>0</v>
      </c>
      <c r="AF264" s="34">
        <f>ROUND(IF(AQ264="2",BH264,0),2)</f>
        <v>0</v>
      </c>
      <c r="AG264" s="34">
        <f>ROUND(IF(AQ264="2",BI264,0),2)</f>
        <v>0</v>
      </c>
      <c r="AH264" s="34">
        <f>ROUND(IF(AQ264="0",BJ264,0),2)</f>
        <v>0</v>
      </c>
      <c r="AI264" s="46" t="s">
        <v>84</v>
      </c>
      <c r="AJ264" s="34">
        <f>IF(AN264=0,I264,0)</f>
        <v>0</v>
      </c>
      <c r="AK264" s="34">
        <f>IF(AN264=12,I264,0)</f>
        <v>0</v>
      </c>
      <c r="AL264" s="34">
        <f>IF(AN264=21,I264,0)</f>
        <v>0</v>
      </c>
      <c r="AN264" s="34">
        <v>21</v>
      </c>
      <c r="AO264" s="34">
        <f>H264*0.494027178</f>
        <v>0</v>
      </c>
      <c r="AP264" s="34">
        <f>H264*(1-0.494027178)</f>
        <v>0</v>
      </c>
      <c r="AQ264" s="65" t="s">
        <v>129</v>
      </c>
      <c r="AV264" s="34">
        <f>ROUND(AW264+AX264,2)</f>
        <v>0</v>
      </c>
      <c r="AW264" s="34">
        <f>ROUND(G264*AO264,2)</f>
        <v>0</v>
      </c>
      <c r="AX264" s="34">
        <f>ROUND(G264*AP264,2)</f>
        <v>0</v>
      </c>
      <c r="AY264" s="65" t="s">
        <v>587</v>
      </c>
      <c r="AZ264" s="65" t="s">
        <v>507</v>
      </c>
      <c r="BA264" s="46" t="s">
        <v>136</v>
      </c>
      <c r="BC264" s="34">
        <f>AW264+AX264</f>
        <v>0</v>
      </c>
      <c r="BD264" s="34">
        <f>H264/(100-BE264)*100</f>
        <v>0</v>
      </c>
      <c r="BE264" s="34">
        <v>0</v>
      </c>
      <c r="BF264" s="34">
        <f>264</f>
        <v>264</v>
      </c>
      <c r="BH264" s="34">
        <f>G264*AO264</f>
        <v>0</v>
      </c>
      <c r="BI264" s="34">
        <f>G264*AP264</f>
        <v>0</v>
      </c>
      <c r="BJ264" s="34">
        <f>G264*H264</f>
        <v>0</v>
      </c>
      <c r="BK264" s="34"/>
      <c r="BL264" s="34">
        <v>43</v>
      </c>
      <c r="BW264" s="34">
        <v>21</v>
      </c>
      <c r="BX264" s="3" t="s">
        <v>585</v>
      </c>
    </row>
    <row r="265" spans="1:76" ht="13.5" customHeight="1" x14ac:dyDescent="0.25">
      <c r="A265" s="66"/>
      <c r="C265" s="69" t="s">
        <v>204</v>
      </c>
      <c r="D265" s="169" t="s">
        <v>588</v>
      </c>
      <c r="E265" s="170"/>
      <c r="F265" s="170"/>
      <c r="G265" s="170"/>
      <c r="H265" s="171"/>
      <c r="I265" s="170"/>
      <c r="J265" s="170"/>
      <c r="K265" s="172"/>
    </row>
    <row r="266" spans="1:76" x14ac:dyDescent="0.25">
      <c r="A266" s="66"/>
      <c r="D266" s="67" t="s">
        <v>589</v>
      </c>
      <c r="E266" s="67" t="s">
        <v>4</v>
      </c>
      <c r="G266" s="68">
        <v>1.8</v>
      </c>
      <c r="K266" s="59"/>
    </row>
    <row r="267" spans="1:76" x14ac:dyDescent="0.25">
      <c r="A267" s="60" t="s">
        <v>4</v>
      </c>
      <c r="B267" s="61" t="s">
        <v>84</v>
      </c>
      <c r="C267" s="61" t="s">
        <v>546</v>
      </c>
      <c r="D267" s="167" t="s">
        <v>590</v>
      </c>
      <c r="E267" s="168"/>
      <c r="F267" s="62" t="s">
        <v>79</v>
      </c>
      <c r="G267" s="62" t="s">
        <v>79</v>
      </c>
      <c r="H267" s="63" t="s">
        <v>79</v>
      </c>
      <c r="I267" s="39">
        <f>SUM(I268:I283)</f>
        <v>0</v>
      </c>
      <c r="J267" s="46" t="s">
        <v>4</v>
      </c>
      <c r="K267" s="59"/>
      <c r="AI267" s="46" t="s">
        <v>84</v>
      </c>
      <c r="AS267" s="39">
        <f>SUM(AJ268:AJ283)</f>
        <v>0</v>
      </c>
      <c r="AT267" s="39">
        <f>SUM(AK268:AK283)</f>
        <v>0</v>
      </c>
      <c r="AU267" s="39">
        <f>SUM(AL268:AL283)</f>
        <v>0</v>
      </c>
    </row>
    <row r="268" spans="1:76" x14ac:dyDescent="0.25">
      <c r="A268" s="1" t="s">
        <v>591</v>
      </c>
      <c r="B268" s="2" t="s">
        <v>84</v>
      </c>
      <c r="C268" s="2" t="s">
        <v>592</v>
      </c>
      <c r="D268" s="86" t="s">
        <v>593</v>
      </c>
      <c r="E268" s="81"/>
      <c r="F268" s="2" t="s">
        <v>132</v>
      </c>
      <c r="G268" s="34">
        <v>50</v>
      </c>
      <c r="H268" s="64">
        <v>0</v>
      </c>
      <c r="I268" s="34">
        <f>ROUND(G268*H268,2)</f>
        <v>0</v>
      </c>
      <c r="J268" s="65" t="s">
        <v>133</v>
      </c>
      <c r="K268" s="59"/>
      <c r="Z268" s="34">
        <f>ROUND(IF(AQ268="5",BJ268,0),2)</f>
        <v>0</v>
      </c>
      <c r="AB268" s="34">
        <f>ROUND(IF(AQ268="1",BH268,0),2)</f>
        <v>0</v>
      </c>
      <c r="AC268" s="34">
        <f>ROUND(IF(AQ268="1",BI268,0),2)</f>
        <v>0</v>
      </c>
      <c r="AD268" s="34">
        <f>ROUND(IF(AQ268="7",BH268,0),2)</f>
        <v>0</v>
      </c>
      <c r="AE268" s="34">
        <f>ROUND(IF(AQ268="7",BI268,0),2)</f>
        <v>0</v>
      </c>
      <c r="AF268" s="34">
        <f>ROUND(IF(AQ268="2",BH268,0),2)</f>
        <v>0</v>
      </c>
      <c r="AG268" s="34">
        <f>ROUND(IF(AQ268="2",BI268,0),2)</f>
        <v>0</v>
      </c>
      <c r="AH268" s="34">
        <f>ROUND(IF(AQ268="0",BJ268,0),2)</f>
        <v>0</v>
      </c>
      <c r="AI268" s="46" t="s">
        <v>84</v>
      </c>
      <c r="AJ268" s="34">
        <f>IF(AN268=0,I268,0)</f>
        <v>0</v>
      </c>
      <c r="AK268" s="34">
        <f>IF(AN268=12,I268,0)</f>
        <v>0</v>
      </c>
      <c r="AL268" s="34">
        <f>IF(AN268=21,I268,0)</f>
        <v>0</v>
      </c>
      <c r="AN268" s="34">
        <v>21</v>
      </c>
      <c r="AO268" s="34">
        <f>H268*0.776746032</f>
        <v>0</v>
      </c>
      <c r="AP268" s="34">
        <f>H268*(1-0.776746032)</f>
        <v>0</v>
      </c>
      <c r="AQ268" s="65" t="s">
        <v>129</v>
      </c>
      <c r="AV268" s="34">
        <f>ROUND(AW268+AX268,2)</f>
        <v>0</v>
      </c>
      <c r="AW268" s="34">
        <f>ROUND(G268*AO268,2)</f>
        <v>0</v>
      </c>
      <c r="AX268" s="34">
        <f>ROUND(G268*AP268,2)</f>
        <v>0</v>
      </c>
      <c r="AY268" s="65" t="s">
        <v>594</v>
      </c>
      <c r="AZ268" s="65" t="s">
        <v>595</v>
      </c>
      <c r="BA268" s="46" t="s">
        <v>136</v>
      </c>
      <c r="BC268" s="34">
        <f>AW268+AX268</f>
        <v>0</v>
      </c>
      <c r="BD268" s="34">
        <f>H268/(100-BE268)*100</f>
        <v>0</v>
      </c>
      <c r="BE268" s="34">
        <v>0</v>
      </c>
      <c r="BF268" s="34">
        <f>268</f>
        <v>268</v>
      </c>
      <c r="BH268" s="34">
        <f>G268*AO268</f>
        <v>0</v>
      </c>
      <c r="BI268" s="34">
        <f>G268*AP268</f>
        <v>0</v>
      </c>
      <c r="BJ268" s="34">
        <f>G268*H268</f>
        <v>0</v>
      </c>
      <c r="BK268" s="34"/>
      <c r="BL268" s="34">
        <v>56</v>
      </c>
      <c r="BW268" s="34">
        <v>21</v>
      </c>
      <c r="BX268" s="3" t="s">
        <v>593</v>
      </c>
    </row>
    <row r="269" spans="1:76" ht="13.5" customHeight="1" x14ac:dyDescent="0.25">
      <c r="A269" s="66"/>
      <c r="C269" s="69" t="s">
        <v>204</v>
      </c>
      <c r="D269" s="169" t="s">
        <v>596</v>
      </c>
      <c r="E269" s="170"/>
      <c r="F269" s="170"/>
      <c r="G269" s="170"/>
      <c r="H269" s="171"/>
      <c r="I269" s="170"/>
      <c r="J269" s="170"/>
      <c r="K269" s="172"/>
    </row>
    <row r="270" spans="1:76" x14ac:dyDescent="0.25">
      <c r="A270" s="66"/>
      <c r="D270" s="67" t="s">
        <v>503</v>
      </c>
      <c r="E270" s="67" t="s">
        <v>597</v>
      </c>
      <c r="G270" s="68">
        <v>50</v>
      </c>
      <c r="K270" s="59"/>
    </row>
    <row r="271" spans="1:76" x14ac:dyDescent="0.25">
      <c r="A271" s="1" t="s">
        <v>598</v>
      </c>
      <c r="B271" s="2" t="s">
        <v>84</v>
      </c>
      <c r="C271" s="2" t="s">
        <v>599</v>
      </c>
      <c r="D271" s="86" t="s">
        <v>600</v>
      </c>
      <c r="E271" s="81"/>
      <c r="F271" s="2" t="s">
        <v>132</v>
      </c>
      <c r="G271" s="34">
        <v>20.079999999999998</v>
      </c>
      <c r="H271" s="64">
        <v>0</v>
      </c>
      <c r="I271" s="34">
        <f>ROUND(G271*H271,2)</f>
        <v>0</v>
      </c>
      <c r="J271" s="65" t="s">
        <v>133</v>
      </c>
      <c r="K271" s="59"/>
      <c r="Z271" s="34">
        <f>ROUND(IF(AQ271="5",BJ271,0),2)</f>
        <v>0</v>
      </c>
      <c r="AB271" s="34">
        <f>ROUND(IF(AQ271="1",BH271,0),2)</f>
        <v>0</v>
      </c>
      <c r="AC271" s="34">
        <f>ROUND(IF(AQ271="1",BI271,0),2)</f>
        <v>0</v>
      </c>
      <c r="AD271" s="34">
        <f>ROUND(IF(AQ271="7",BH271,0),2)</f>
        <v>0</v>
      </c>
      <c r="AE271" s="34">
        <f>ROUND(IF(AQ271="7",BI271,0),2)</f>
        <v>0</v>
      </c>
      <c r="AF271" s="34">
        <f>ROUND(IF(AQ271="2",BH271,0),2)</f>
        <v>0</v>
      </c>
      <c r="AG271" s="34">
        <f>ROUND(IF(AQ271="2",BI271,0),2)</f>
        <v>0</v>
      </c>
      <c r="AH271" s="34">
        <f>ROUND(IF(AQ271="0",BJ271,0),2)</f>
        <v>0</v>
      </c>
      <c r="AI271" s="46" t="s">
        <v>84</v>
      </c>
      <c r="AJ271" s="34">
        <f>IF(AN271=0,I271,0)</f>
        <v>0</v>
      </c>
      <c r="AK271" s="34">
        <f>IF(AN271=12,I271,0)</f>
        <v>0</v>
      </c>
      <c r="AL271" s="34">
        <f>IF(AN271=21,I271,0)</f>
        <v>0</v>
      </c>
      <c r="AN271" s="34">
        <v>21</v>
      </c>
      <c r="AO271" s="34">
        <f>H271*0</f>
        <v>0</v>
      </c>
      <c r="AP271" s="34">
        <f>H271*(1-0)</f>
        <v>0</v>
      </c>
      <c r="AQ271" s="65" t="s">
        <v>129</v>
      </c>
      <c r="AV271" s="34">
        <f>ROUND(AW271+AX271,2)</f>
        <v>0</v>
      </c>
      <c r="AW271" s="34">
        <f>ROUND(G271*AO271,2)</f>
        <v>0</v>
      </c>
      <c r="AX271" s="34">
        <f>ROUND(G271*AP271,2)</f>
        <v>0</v>
      </c>
      <c r="AY271" s="65" t="s">
        <v>594</v>
      </c>
      <c r="AZ271" s="65" t="s">
        <v>595</v>
      </c>
      <c r="BA271" s="46" t="s">
        <v>136</v>
      </c>
      <c r="BC271" s="34">
        <f>AW271+AX271</f>
        <v>0</v>
      </c>
      <c r="BD271" s="34">
        <f>H271/(100-BE271)*100</f>
        <v>0</v>
      </c>
      <c r="BE271" s="34">
        <v>0</v>
      </c>
      <c r="BF271" s="34">
        <f>271</f>
        <v>271</v>
      </c>
      <c r="BH271" s="34">
        <f>G271*AO271</f>
        <v>0</v>
      </c>
      <c r="BI271" s="34">
        <f>G271*AP271</f>
        <v>0</v>
      </c>
      <c r="BJ271" s="34">
        <f>G271*H271</f>
        <v>0</v>
      </c>
      <c r="BK271" s="34"/>
      <c r="BL271" s="34">
        <v>56</v>
      </c>
      <c r="BW271" s="34">
        <v>21</v>
      </c>
      <c r="BX271" s="3" t="s">
        <v>600</v>
      </c>
    </row>
    <row r="272" spans="1:76" x14ac:dyDescent="0.25">
      <c r="A272" s="66"/>
      <c r="D272" s="67" t="s">
        <v>601</v>
      </c>
      <c r="E272" s="67" t="s">
        <v>4</v>
      </c>
      <c r="G272" s="68">
        <v>20.079999999999998</v>
      </c>
      <c r="K272" s="59"/>
    </row>
    <row r="273" spans="1:76" x14ac:dyDescent="0.25">
      <c r="A273" s="1" t="s">
        <v>602</v>
      </c>
      <c r="B273" s="2" t="s">
        <v>84</v>
      </c>
      <c r="C273" s="2" t="s">
        <v>603</v>
      </c>
      <c r="D273" s="86" t="s">
        <v>604</v>
      </c>
      <c r="E273" s="81"/>
      <c r="F273" s="2" t="s">
        <v>132</v>
      </c>
      <c r="G273" s="34">
        <v>20.079999999999998</v>
      </c>
      <c r="H273" s="64">
        <v>0</v>
      </c>
      <c r="I273" s="34">
        <f>ROUND(G273*H273,2)</f>
        <v>0</v>
      </c>
      <c r="J273" s="65" t="s">
        <v>133</v>
      </c>
      <c r="K273" s="59"/>
      <c r="Z273" s="34">
        <f>ROUND(IF(AQ273="5",BJ273,0),2)</f>
        <v>0</v>
      </c>
      <c r="AB273" s="34">
        <f>ROUND(IF(AQ273="1",BH273,0),2)</f>
        <v>0</v>
      </c>
      <c r="AC273" s="34">
        <f>ROUND(IF(AQ273="1",BI273,0),2)</f>
        <v>0</v>
      </c>
      <c r="AD273" s="34">
        <f>ROUND(IF(AQ273="7",BH273,0),2)</f>
        <v>0</v>
      </c>
      <c r="AE273" s="34">
        <f>ROUND(IF(AQ273="7",BI273,0),2)</f>
        <v>0</v>
      </c>
      <c r="AF273" s="34">
        <f>ROUND(IF(AQ273="2",BH273,0),2)</f>
        <v>0</v>
      </c>
      <c r="AG273" s="34">
        <f>ROUND(IF(AQ273="2",BI273,0),2)</f>
        <v>0</v>
      </c>
      <c r="AH273" s="34">
        <f>ROUND(IF(AQ273="0",BJ273,0),2)</f>
        <v>0</v>
      </c>
      <c r="AI273" s="46" t="s">
        <v>84</v>
      </c>
      <c r="AJ273" s="34">
        <f>IF(AN273=0,I273,0)</f>
        <v>0</v>
      </c>
      <c r="AK273" s="34">
        <f>IF(AN273=12,I273,0)</f>
        <v>0</v>
      </c>
      <c r="AL273" s="34">
        <f>IF(AN273=21,I273,0)</f>
        <v>0</v>
      </c>
      <c r="AN273" s="34">
        <v>21</v>
      </c>
      <c r="AO273" s="34">
        <f>H273*0.515843008</f>
        <v>0</v>
      </c>
      <c r="AP273" s="34">
        <f>H273*(1-0.515843008)</f>
        <v>0</v>
      </c>
      <c r="AQ273" s="65" t="s">
        <v>129</v>
      </c>
      <c r="AV273" s="34">
        <f>ROUND(AW273+AX273,2)</f>
        <v>0</v>
      </c>
      <c r="AW273" s="34">
        <f>ROUND(G273*AO273,2)</f>
        <v>0</v>
      </c>
      <c r="AX273" s="34">
        <f>ROUND(G273*AP273,2)</f>
        <v>0</v>
      </c>
      <c r="AY273" s="65" t="s">
        <v>594</v>
      </c>
      <c r="AZ273" s="65" t="s">
        <v>595</v>
      </c>
      <c r="BA273" s="46" t="s">
        <v>136</v>
      </c>
      <c r="BC273" s="34">
        <f>AW273+AX273</f>
        <v>0</v>
      </c>
      <c r="BD273" s="34">
        <f>H273/(100-BE273)*100</f>
        <v>0</v>
      </c>
      <c r="BE273" s="34">
        <v>0</v>
      </c>
      <c r="BF273" s="34">
        <f>273</f>
        <v>273</v>
      </c>
      <c r="BH273" s="34">
        <f>G273*AO273</f>
        <v>0</v>
      </c>
      <c r="BI273" s="34">
        <f>G273*AP273</f>
        <v>0</v>
      </c>
      <c r="BJ273" s="34">
        <f>G273*H273</f>
        <v>0</v>
      </c>
      <c r="BK273" s="34"/>
      <c r="BL273" s="34">
        <v>56</v>
      </c>
      <c r="BW273" s="34">
        <v>21</v>
      </c>
      <c r="BX273" s="3" t="s">
        <v>604</v>
      </c>
    </row>
    <row r="274" spans="1:76" x14ac:dyDescent="0.25">
      <c r="A274" s="66"/>
      <c r="D274" s="67" t="s">
        <v>601</v>
      </c>
      <c r="E274" s="67" t="s">
        <v>4</v>
      </c>
      <c r="G274" s="68">
        <v>20.079999999999998</v>
      </c>
      <c r="K274" s="59"/>
    </row>
    <row r="275" spans="1:76" x14ac:dyDescent="0.25">
      <c r="A275" s="1" t="s">
        <v>605</v>
      </c>
      <c r="B275" s="2" t="s">
        <v>84</v>
      </c>
      <c r="C275" s="2" t="s">
        <v>606</v>
      </c>
      <c r="D275" s="86" t="s">
        <v>607</v>
      </c>
      <c r="E275" s="81"/>
      <c r="F275" s="2" t="s">
        <v>178</v>
      </c>
      <c r="G275" s="34">
        <v>0.71928000000000003</v>
      </c>
      <c r="H275" s="64">
        <v>0</v>
      </c>
      <c r="I275" s="34">
        <f>ROUND(G275*H275,2)</f>
        <v>0</v>
      </c>
      <c r="J275" s="65" t="s">
        <v>133</v>
      </c>
      <c r="K275" s="59"/>
      <c r="Z275" s="34">
        <f>ROUND(IF(AQ275="5",BJ275,0),2)</f>
        <v>0</v>
      </c>
      <c r="AB275" s="34">
        <f>ROUND(IF(AQ275="1",BH275,0),2)</f>
        <v>0</v>
      </c>
      <c r="AC275" s="34">
        <f>ROUND(IF(AQ275="1",BI275,0),2)</f>
        <v>0</v>
      </c>
      <c r="AD275" s="34">
        <f>ROUND(IF(AQ275="7",BH275,0),2)</f>
        <v>0</v>
      </c>
      <c r="AE275" s="34">
        <f>ROUND(IF(AQ275="7",BI275,0),2)</f>
        <v>0</v>
      </c>
      <c r="AF275" s="34">
        <f>ROUND(IF(AQ275="2",BH275,0),2)</f>
        <v>0</v>
      </c>
      <c r="AG275" s="34">
        <f>ROUND(IF(AQ275="2",BI275,0),2)</f>
        <v>0</v>
      </c>
      <c r="AH275" s="34">
        <f>ROUND(IF(AQ275="0",BJ275,0),2)</f>
        <v>0</v>
      </c>
      <c r="AI275" s="46" t="s">
        <v>84</v>
      </c>
      <c r="AJ275" s="34">
        <f>IF(AN275=0,I275,0)</f>
        <v>0</v>
      </c>
      <c r="AK275" s="34">
        <f>IF(AN275=12,I275,0)</f>
        <v>0</v>
      </c>
      <c r="AL275" s="34">
        <f>IF(AN275=21,I275,0)</f>
        <v>0</v>
      </c>
      <c r="AN275" s="34">
        <v>21</v>
      </c>
      <c r="AO275" s="34">
        <f>H275*0.771491758</f>
        <v>0</v>
      </c>
      <c r="AP275" s="34">
        <f>H275*(1-0.771491758)</f>
        <v>0</v>
      </c>
      <c r="AQ275" s="65" t="s">
        <v>129</v>
      </c>
      <c r="AV275" s="34">
        <f>ROUND(AW275+AX275,2)</f>
        <v>0</v>
      </c>
      <c r="AW275" s="34">
        <f>ROUND(G275*AO275,2)</f>
        <v>0</v>
      </c>
      <c r="AX275" s="34">
        <f>ROUND(G275*AP275,2)</f>
        <v>0</v>
      </c>
      <c r="AY275" s="65" t="s">
        <v>594</v>
      </c>
      <c r="AZ275" s="65" t="s">
        <v>595</v>
      </c>
      <c r="BA275" s="46" t="s">
        <v>136</v>
      </c>
      <c r="BC275" s="34">
        <f>AW275+AX275</f>
        <v>0</v>
      </c>
      <c r="BD275" s="34">
        <f>H275/(100-BE275)*100</f>
        <v>0</v>
      </c>
      <c r="BE275" s="34">
        <v>0</v>
      </c>
      <c r="BF275" s="34">
        <f>275</f>
        <v>275</v>
      </c>
      <c r="BH275" s="34">
        <f>G275*AO275</f>
        <v>0</v>
      </c>
      <c r="BI275" s="34">
        <f>G275*AP275</f>
        <v>0</v>
      </c>
      <c r="BJ275" s="34">
        <f>G275*H275</f>
        <v>0</v>
      </c>
      <c r="BK275" s="34"/>
      <c r="BL275" s="34">
        <v>56</v>
      </c>
      <c r="BW275" s="34">
        <v>21</v>
      </c>
      <c r="BX275" s="3" t="s">
        <v>607</v>
      </c>
    </row>
    <row r="276" spans="1:76" ht="13.5" customHeight="1" x14ac:dyDescent="0.25">
      <c r="A276" s="66"/>
      <c r="C276" s="69" t="s">
        <v>204</v>
      </c>
      <c r="D276" s="169" t="s">
        <v>218</v>
      </c>
      <c r="E276" s="170"/>
      <c r="F276" s="170"/>
      <c r="G276" s="170"/>
      <c r="H276" s="171"/>
      <c r="I276" s="170"/>
      <c r="J276" s="170"/>
      <c r="K276" s="172"/>
    </row>
    <row r="277" spans="1:76" x14ac:dyDescent="0.25">
      <c r="A277" s="66"/>
      <c r="D277" s="67" t="s">
        <v>608</v>
      </c>
      <c r="E277" s="67" t="s">
        <v>609</v>
      </c>
      <c r="G277" s="68">
        <v>0.63936000000000004</v>
      </c>
      <c r="K277" s="59"/>
    </row>
    <row r="278" spans="1:76" x14ac:dyDescent="0.25">
      <c r="A278" s="66"/>
      <c r="D278" s="67" t="s">
        <v>610</v>
      </c>
      <c r="E278" s="67" t="s">
        <v>611</v>
      </c>
      <c r="G278" s="68">
        <v>7.9920000000000005E-2</v>
      </c>
      <c r="K278" s="59"/>
    </row>
    <row r="279" spans="1:76" x14ac:dyDescent="0.25">
      <c r="A279" s="1" t="s">
        <v>612</v>
      </c>
      <c r="B279" s="2" t="s">
        <v>84</v>
      </c>
      <c r="C279" s="2" t="s">
        <v>202</v>
      </c>
      <c r="D279" s="86" t="s">
        <v>203</v>
      </c>
      <c r="E279" s="81"/>
      <c r="F279" s="2" t="s">
        <v>143</v>
      </c>
      <c r="G279" s="34">
        <v>10.199999999999999</v>
      </c>
      <c r="H279" s="64">
        <v>0</v>
      </c>
      <c r="I279" s="34">
        <f>ROUND(G279*H279,2)</f>
        <v>0</v>
      </c>
      <c r="J279" s="65" t="s">
        <v>133</v>
      </c>
      <c r="K279" s="59"/>
      <c r="Z279" s="34">
        <f>ROUND(IF(AQ279="5",BJ279,0),2)</f>
        <v>0</v>
      </c>
      <c r="AB279" s="34">
        <f>ROUND(IF(AQ279="1",BH279,0),2)</f>
        <v>0</v>
      </c>
      <c r="AC279" s="34">
        <f>ROUND(IF(AQ279="1",BI279,0),2)</f>
        <v>0</v>
      </c>
      <c r="AD279" s="34">
        <f>ROUND(IF(AQ279="7",BH279,0),2)</f>
        <v>0</v>
      </c>
      <c r="AE279" s="34">
        <f>ROUND(IF(AQ279="7",BI279,0),2)</f>
        <v>0</v>
      </c>
      <c r="AF279" s="34">
        <f>ROUND(IF(AQ279="2",BH279,0),2)</f>
        <v>0</v>
      </c>
      <c r="AG279" s="34">
        <f>ROUND(IF(AQ279="2",BI279,0),2)</f>
        <v>0</v>
      </c>
      <c r="AH279" s="34">
        <f>ROUND(IF(AQ279="0",BJ279,0),2)</f>
        <v>0</v>
      </c>
      <c r="AI279" s="46" t="s">
        <v>84</v>
      </c>
      <c r="AJ279" s="34">
        <f>IF(AN279=0,I279,0)</f>
        <v>0</v>
      </c>
      <c r="AK279" s="34">
        <f>IF(AN279=12,I279,0)</f>
        <v>0</v>
      </c>
      <c r="AL279" s="34">
        <f>IF(AN279=21,I279,0)</f>
        <v>0</v>
      </c>
      <c r="AN279" s="34">
        <v>21</v>
      </c>
      <c r="AO279" s="34">
        <f>H279*0.908474117</f>
        <v>0</v>
      </c>
      <c r="AP279" s="34">
        <f>H279*(1-0.908474117)</f>
        <v>0</v>
      </c>
      <c r="AQ279" s="65" t="s">
        <v>129</v>
      </c>
      <c r="AV279" s="34">
        <f>ROUND(AW279+AX279,2)</f>
        <v>0</v>
      </c>
      <c r="AW279" s="34">
        <f>ROUND(G279*AO279,2)</f>
        <v>0</v>
      </c>
      <c r="AX279" s="34">
        <f>ROUND(G279*AP279,2)</f>
        <v>0</v>
      </c>
      <c r="AY279" s="65" t="s">
        <v>594</v>
      </c>
      <c r="AZ279" s="65" t="s">
        <v>595</v>
      </c>
      <c r="BA279" s="46" t="s">
        <v>136</v>
      </c>
      <c r="BC279" s="34">
        <f>AW279+AX279</f>
        <v>0</v>
      </c>
      <c r="BD279" s="34">
        <f>H279/(100-BE279)*100</f>
        <v>0</v>
      </c>
      <c r="BE279" s="34">
        <v>0</v>
      </c>
      <c r="BF279" s="34">
        <f>279</f>
        <v>279</v>
      </c>
      <c r="BH279" s="34">
        <f>G279*AO279</f>
        <v>0</v>
      </c>
      <c r="BI279" s="34">
        <f>G279*AP279</f>
        <v>0</v>
      </c>
      <c r="BJ279" s="34">
        <f>G279*H279</f>
        <v>0</v>
      </c>
      <c r="BK279" s="34"/>
      <c r="BL279" s="34">
        <v>56</v>
      </c>
      <c r="BW279" s="34">
        <v>21</v>
      </c>
      <c r="BX279" s="3" t="s">
        <v>203</v>
      </c>
    </row>
    <row r="280" spans="1:76" x14ac:dyDescent="0.25">
      <c r="A280" s="66"/>
      <c r="D280" s="67" t="s">
        <v>613</v>
      </c>
      <c r="E280" s="67" t="s">
        <v>614</v>
      </c>
      <c r="G280" s="68">
        <v>10</v>
      </c>
      <c r="K280" s="59"/>
    </row>
    <row r="281" spans="1:76" x14ac:dyDescent="0.25">
      <c r="A281" s="66"/>
      <c r="D281" s="67" t="s">
        <v>615</v>
      </c>
      <c r="E281" s="67" t="s">
        <v>616</v>
      </c>
      <c r="G281" s="68">
        <v>0.2</v>
      </c>
      <c r="K281" s="59"/>
    </row>
    <row r="282" spans="1:76" x14ac:dyDescent="0.25">
      <c r="A282" s="1" t="s">
        <v>617</v>
      </c>
      <c r="B282" s="2" t="s">
        <v>84</v>
      </c>
      <c r="C282" s="2" t="s">
        <v>618</v>
      </c>
      <c r="D282" s="86" t="s">
        <v>619</v>
      </c>
      <c r="E282" s="81"/>
      <c r="F282" s="2" t="s">
        <v>178</v>
      </c>
      <c r="G282" s="34">
        <v>38.820030000000003</v>
      </c>
      <c r="H282" s="64">
        <v>0</v>
      </c>
      <c r="I282" s="34">
        <f>ROUND(G282*H282,2)</f>
        <v>0</v>
      </c>
      <c r="J282" s="65" t="s">
        <v>133</v>
      </c>
      <c r="K282" s="59"/>
      <c r="Z282" s="34">
        <f>ROUND(IF(AQ282="5",BJ282,0),2)</f>
        <v>0</v>
      </c>
      <c r="AB282" s="34">
        <f>ROUND(IF(AQ282="1",BH282,0),2)</f>
        <v>0</v>
      </c>
      <c r="AC282" s="34">
        <f>ROUND(IF(AQ282="1",BI282,0),2)</f>
        <v>0</v>
      </c>
      <c r="AD282" s="34">
        <f>ROUND(IF(AQ282="7",BH282,0),2)</f>
        <v>0</v>
      </c>
      <c r="AE282" s="34">
        <f>ROUND(IF(AQ282="7",BI282,0),2)</f>
        <v>0</v>
      </c>
      <c r="AF282" s="34">
        <f>ROUND(IF(AQ282="2",BH282,0),2)</f>
        <v>0</v>
      </c>
      <c r="AG282" s="34">
        <f>ROUND(IF(AQ282="2",BI282,0),2)</f>
        <v>0</v>
      </c>
      <c r="AH282" s="34">
        <f>ROUND(IF(AQ282="0",BJ282,0),2)</f>
        <v>0</v>
      </c>
      <c r="AI282" s="46" t="s">
        <v>84</v>
      </c>
      <c r="AJ282" s="34">
        <f>IF(AN282=0,I282,0)</f>
        <v>0</v>
      </c>
      <c r="AK282" s="34">
        <f>IF(AN282=12,I282,0)</f>
        <v>0</v>
      </c>
      <c r="AL282" s="34">
        <f>IF(AN282=21,I282,0)</f>
        <v>0</v>
      </c>
      <c r="AN282" s="34">
        <v>21</v>
      </c>
      <c r="AO282" s="34">
        <f>H282*0</f>
        <v>0</v>
      </c>
      <c r="AP282" s="34">
        <f>H282*(1-0)</f>
        <v>0</v>
      </c>
      <c r="AQ282" s="65" t="s">
        <v>166</v>
      </c>
      <c r="AV282" s="34">
        <f>ROUND(AW282+AX282,2)</f>
        <v>0</v>
      </c>
      <c r="AW282" s="34">
        <f>ROUND(G282*AO282,2)</f>
        <v>0</v>
      </c>
      <c r="AX282" s="34">
        <f>ROUND(G282*AP282,2)</f>
        <v>0</v>
      </c>
      <c r="AY282" s="65" t="s">
        <v>594</v>
      </c>
      <c r="AZ282" s="65" t="s">
        <v>595</v>
      </c>
      <c r="BA282" s="46" t="s">
        <v>136</v>
      </c>
      <c r="BC282" s="34">
        <f>AW282+AX282</f>
        <v>0</v>
      </c>
      <c r="BD282" s="34">
        <f>H282/(100-BE282)*100</f>
        <v>0</v>
      </c>
      <c r="BE282" s="34">
        <v>0</v>
      </c>
      <c r="BF282" s="34">
        <f>282</f>
        <v>282</v>
      </c>
      <c r="BH282" s="34">
        <f>G282*AO282</f>
        <v>0</v>
      </c>
      <c r="BI282" s="34">
        <f>G282*AP282</f>
        <v>0</v>
      </c>
      <c r="BJ282" s="34">
        <f>G282*H282</f>
        <v>0</v>
      </c>
      <c r="BK282" s="34"/>
      <c r="BL282" s="34">
        <v>56</v>
      </c>
      <c r="BW282" s="34">
        <v>21</v>
      </c>
      <c r="BX282" s="3" t="s">
        <v>619</v>
      </c>
    </row>
    <row r="283" spans="1:76" x14ac:dyDescent="0.25">
      <c r="A283" s="1" t="s">
        <v>620</v>
      </c>
      <c r="B283" s="2" t="s">
        <v>84</v>
      </c>
      <c r="C283" s="2" t="s">
        <v>621</v>
      </c>
      <c r="D283" s="86" t="s">
        <v>622</v>
      </c>
      <c r="E283" s="81"/>
      <c r="F283" s="2" t="s">
        <v>143</v>
      </c>
      <c r="G283" s="34">
        <v>2.9</v>
      </c>
      <c r="H283" s="64">
        <v>0</v>
      </c>
      <c r="I283" s="34">
        <f>ROUND(G283*H283,2)</f>
        <v>0</v>
      </c>
      <c r="J283" s="65" t="s">
        <v>133</v>
      </c>
      <c r="K283" s="59"/>
      <c r="Z283" s="34">
        <f>ROUND(IF(AQ283="5",BJ283,0),2)</f>
        <v>0</v>
      </c>
      <c r="AB283" s="34">
        <f>ROUND(IF(AQ283="1",BH283,0),2)</f>
        <v>0</v>
      </c>
      <c r="AC283" s="34">
        <f>ROUND(IF(AQ283="1",BI283,0),2)</f>
        <v>0</v>
      </c>
      <c r="AD283" s="34">
        <f>ROUND(IF(AQ283="7",BH283,0),2)</f>
        <v>0</v>
      </c>
      <c r="AE283" s="34">
        <f>ROUND(IF(AQ283="7",BI283,0),2)</f>
        <v>0</v>
      </c>
      <c r="AF283" s="34">
        <f>ROUND(IF(AQ283="2",BH283,0),2)</f>
        <v>0</v>
      </c>
      <c r="AG283" s="34">
        <f>ROUND(IF(AQ283="2",BI283,0),2)</f>
        <v>0</v>
      </c>
      <c r="AH283" s="34">
        <f>ROUND(IF(AQ283="0",BJ283,0),2)</f>
        <v>0</v>
      </c>
      <c r="AI283" s="46" t="s">
        <v>84</v>
      </c>
      <c r="AJ283" s="34">
        <f>IF(AN283=0,I283,0)</f>
        <v>0</v>
      </c>
      <c r="AK283" s="34">
        <f>IF(AN283=12,I283,0)</f>
        <v>0</v>
      </c>
      <c r="AL283" s="34">
        <f>IF(AN283=21,I283,0)</f>
        <v>0</v>
      </c>
      <c r="AN283" s="34">
        <v>21</v>
      </c>
      <c r="AO283" s="34">
        <f>H283*0.85294035</f>
        <v>0</v>
      </c>
      <c r="AP283" s="34">
        <f>H283*(1-0.85294035)</f>
        <v>0</v>
      </c>
      <c r="AQ283" s="65" t="s">
        <v>129</v>
      </c>
      <c r="AV283" s="34">
        <f>ROUND(AW283+AX283,2)</f>
        <v>0</v>
      </c>
      <c r="AW283" s="34">
        <f>ROUND(G283*AO283,2)</f>
        <v>0</v>
      </c>
      <c r="AX283" s="34">
        <f>ROUND(G283*AP283,2)</f>
        <v>0</v>
      </c>
      <c r="AY283" s="65" t="s">
        <v>594</v>
      </c>
      <c r="AZ283" s="65" t="s">
        <v>595</v>
      </c>
      <c r="BA283" s="46" t="s">
        <v>136</v>
      </c>
      <c r="BC283" s="34">
        <f>AW283+AX283</f>
        <v>0</v>
      </c>
      <c r="BD283" s="34">
        <f>H283/(100-BE283)*100</f>
        <v>0</v>
      </c>
      <c r="BE283" s="34">
        <v>0</v>
      </c>
      <c r="BF283" s="34">
        <f>283</f>
        <v>283</v>
      </c>
      <c r="BH283" s="34">
        <f>G283*AO283</f>
        <v>0</v>
      </c>
      <c r="BI283" s="34">
        <f>G283*AP283</f>
        <v>0</v>
      </c>
      <c r="BJ283" s="34">
        <f>G283*H283</f>
        <v>0</v>
      </c>
      <c r="BK283" s="34"/>
      <c r="BL283" s="34">
        <v>56</v>
      </c>
      <c r="BW283" s="34">
        <v>21</v>
      </c>
      <c r="BX283" s="3" t="s">
        <v>622</v>
      </c>
    </row>
    <row r="284" spans="1:76" x14ac:dyDescent="0.25">
      <c r="A284" s="66"/>
      <c r="D284" s="67" t="s">
        <v>623</v>
      </c>
      <c r="E284" s="67" t="s">
        <v>4</v>
      </c>
      <c r="G284" s="68">
        <v>2.9</v>
      </c>
      <c r="K284" s="59"/>
    </row>
    <row r="285" spans="1:76" x14ac:dyDescent="0.25">
      <c r="A285" s="60" t="s">
        <v>4</v>
      </c>
      <c r="B285" s="61" t="s">
        <v>84</v>
      </c>
      <c r="C285" s="61" t="s">
        <v>554</v>
      </c>
      <c r="D285" s="167" t="s">
        <v>624</v>
      </c>
      <c r="E285" s="168"/>
      <c r="F285" s="62" t="s">
        <v>79</v>
      </c>
      <c r="G285" s="62" t="s">
        <v>79</v>
      </c>
      <c r="H285" s="63" t="s">
        <v>79</v>
      </c>
      <c r="I285" s="39">
        <f>SUM(I286:I286)</f>
        <v>0</v>
      </c>
      <c r="J285" s="46" t="s">
        <v>4</v>
      </c>
      <c r="K285" s="59"/>
      <c r="AI285" s="46" t="s">
        <v>84</v>
      </c>
      <c r="AS285" s="39">
        <f>SUM(AJ286:AJ286)</f>
        <v>0</v>
      </c>
      <c r="AT285" s="39">
        <f>SUM(AK286:AK286)</f>
        <v>0</v>
      </c>
      <c r="AU285" s="39">
        <f>SUM(AL286:AL286)</f>
        <v>0</v>
      </c>
    </row>
    <row r="286" spans="1:76" x14ac:dyDescent="0.25">
      <c r="A286" s="1" t="s">
        <v>625</v>
      </c>
      <c r="B286" s="2" t="s">
        <v>84</v>
      </c>
      <c r="C286" s="2" t="s">
        <v>626</v>
      </c>
      <c r="D286" s="86" t="s">
        <v>627</v>
      </c>
      <c r="E286" s="81"/>
      <c r="F286" s="2" t="s">
        <v>132</v>
      </c>
      <c r="G286" s="34">
        <v>51.6</v>
      </c>
      <c r="H286" s="64">
        <v>0</v>
      </c>
      <c r="I286" s="34">
        <f>ROUND(G286*H286,2)</f>
        <v>0</v>
      </c>
      <c r="J286" s="65" t="s">
        <v>133</v>
      </c>
      <c r="K286" s="59"/>
      <c r="Z286" s="34">
        <f>ROUND(IF(AQ286="5",BJ286,0),2)</f>
        <v>0</v>
      </c>
      <c r="AB286" s="34">
        <f>ROUND(IF(AQ286="1",BH286,0),2)</f>
        <v>0</v>
      </c>
      <c r="AC286" s="34">
        <f>ROUND(IF(AQ286="1",BI286,0),2)</f>
        <v>0</v>
      </c>
      <c r="AD286" s="34">
        <f>ROUND(IF(AQ286="7",BH286,0),2)</f>
        <v>0</v>
      </c>
      <c r="AE286" s="34">
        <f>ROUND(IF(AQ286="7",BI286,0),2)</f>
        <v>0</v>
      </c>
      <c r="AF286" s="34">
        <f>ROUND(IF(AQ286="2",BH286,0),2)</f>
        <v>0</v>
      </c>
      <c r="AG286" s="34">
        <f>ROUND(IF(AQ286="2",BI286,0),2)</f>
        <v>0</v>
      </c>
      <c r="AH286" s="34">
        <f>ROUND(IF(AQ286="0",BJ286,0),2)</f>
        <v>0</v>
      </c>
      <c r="AI286" s="46" t="s">
        <v>84</v>
      </c>
      <c r="AJ286" s="34">
        <f>IF(AN286=0,I286,0)</f>
        <v>0</v>
      </c>
      <c r="AK286" s="34">
        <f>IF(AN286=12,I286,0)</f>
        <v>0</v>
      </c>
      <c r="AL286" s="34">
        <f>IF(AN286=21,I286,0)</f>
        <v>0</v>
      </c>
      <c r="AN286" s="34">
        <v>21</v>
      </c>
      <c r="AO286" s="34">
        <f>H286*0.870060897</f>
        <v>0</v>
      </c>
      <c r="AP286" s="34">
        <f>H286*(1-0.870060897)</f>
        <v>0</v>
      </c>
      <c r="AQ286" s="65" t="s">
        <v>129</v>
      </c>
      <c r="AV286" s="34">
        <f>ROUND(AW286+AX286,2)</f>
        <v>0</v>
      </c>
      <c r="AW286" s="34">
        <f>ROUND(G286*AO286,2)</f>
        <v>0</v>
      </c>
      <c r="AX286" s="34">
        <f>ROUND(G286*AP286,2)</f>
        <v>0</v>
      </c>
      <c r="AY286" s="65" t="s">
        <v>628</v>
      </c>
      <c r="AZ286" s="65" t="s">
        <v>595</v>
      </c>
      <c r="BA286" s="46" t="s">
        <v>136</v>
      </c>
      <c r="BC286" s="34">
        <f>AW286+AX286</f>
        <v>0</v>
      </c>
      <c r="BD286" s="34">
        <f>H286/(100-BE286)*100</f>
        <v>0</v>
      </c>
      <c r="BE286" s="34">
        <v>0</v>
      </c>
      <c r="BF286" s="34">
        <f>286</f>
        <v>286</v>
      </c>
      <c r="BH286" s="34">
        <f>G286*AO286</f>
        <v>0</v>
      </c>
      <c r="BI286" s="34">
        <f>G286*AP286</f>
        <v>0</v>
      </c>
      <c r="BJ286" s="34">
        <f>G286*H286</f>
        <v>0</v>
      </c>
      <c r="BK286" s="34"/>
      <c r="BL286" s="34">
        <v>57</v>
      </c>
      <c r="BW286" s="34">
        <v>21</v>
      </c>
      <c r="BX286" s="3" t="s">
        <v>627</v>
      </c>
    </row>
    <row r="287" spans="1:76" x14ac:dyDescent="0.25">
      <c r="A287" s="66"/>
      <c r="D287" s="67" t="s">
        <v>629</v>
      </c>
      <c r="E287" s="67" t="s">
        <v>630</v>
      </c>
      <c r="G287" s="68">
        <v>51.6</v>
      </c>
      <c r="K287" s="59"/>
    </row>
    <row r="288" spans="1:76" x14ac:dyDescent="0.25">
      <c r="A288" s="60" t="s">
        <v>4</v>
      </c>
      <c r="B288" s="61" t="s">
        <v>84</v>
      </c>
      <c r="C288" s="61" t="s">
        <v>583</v>
      </c>
      <c r="D288" s="167" t="s">
        <v>631</v>
      </c>
      <c r="E288" s="168"/>
      <c r="F288" s="62" t="s">
        <v>79</v>
      </c>
      <c r="G288" s="62" t="s">
        <v>79</v>
      </c>
      <c r="H288" s="63" t="s">
        <v>79</v>
      </c>
      <c r="I288" s="39">
        <f>SUM(I289:I301)</f>
        <v>0</v>
      </c>
      <c r="J288" s="46" t="s">
        <v>4</v>
      </c>
      <c r="K288" s="59"/>
      <c r="AI288" s="46" t="s">
        <v>84</v>
      </c>
      <c r="AS288" s="39">
        <f>SUM(AJ289:AJ301)</f>
        <v>0</v>
      </c>
      <c r="AT288" s="39">
        <f>SUM(AK289:AK301)</f>
        <v>0</v>
      </c>
      <c r="AU288" s="39">
        <f>SUM(AL289:AL301)</f>
        <v>0</v>
      </c>
    </row>
    <row r="289" spans="1:76" x14ac:dyDescent="0.25">
      <c r="A289" s="1" t="s">
        <v>632</v>
      </c>
      <c r="B289" s="2" t="s">
        <v>84</v>
      </c>
      <c r="C289" s="2" t="s">
        <v>633</v>
      </c>
      <c r="D289" s="86" t="s">
        <v>634</v>
      </c>
      <c r="E289" s="81"/>
      <c r="F289" s="2" t="s">
        <v>258</v>
      </c>
      <c r="G289" s="34">
        <v>2</v>
      </c>
      <c r="H289" s="64">
        <v>0</v>
      </c>
      <c r="I289" s="34">
        <f>ROUND(G289*H289,2)</f>
        <v>0</v>
      </c>
      <c r="J289" s="65" t="s">
        <v>133</v>
      </c>
      <c r="K289" s="59"/>
      <c r="Z289" s="34">
        <f>ROUND(IF(AQ289="5",BJ289,0),2)</f>
        <v>0</v>
      </c>
      <c r="AB289" s="34">
        <f>ROUND(IF(AQ289="1",BH289,0),2)</f>
        <v>0</v>
      </c>
      <c r="AC289" s="34">
        <f>ROUND(IF(AQ289="1",BI289,0),2)</f>
        <v>0</v>
      </c>
      <c r="AD289" s="34">
        <f>ROUND(IF(AQ289="7",BH289,0),2)</f>
        <v>0</v>
      </c>
      <c r="AE289" s="34">
        <f>ROUND(IF(AQ289="7",BI289,0),2)</f>
        <v>0</v>
      </c>
      <c r="AF289" s="34">
        <f>ROUND(IF(AQ289="2",BH289,0),2)</f>
        <v>0</v>
      </c>
      <c r="AG289" s="34">
        <f>ROUND(IF(AQ289="2",BI289,0),2)</f>
        <v>0</v>
      </c>
      <c r="AH289" s="34">
        <f>ROUND(IF(AQ289="0",BJ289,0),2)</f>
        <v>0</v>
      </c>
      <c r="AI289" s="46" t="s">
        <v>84</v>
      </c>
      <c r="AJ289" s="34">
        <f>IF(AN289=0,I289,0)</f>
        <v>0</v>
      </c>
      <c r="AK289" s="34">
        <f>IF(AN289=12,I289,0)</f>
        <v>0</v>
      </c>
      <c r="AL289" s="34">
        <f>IF(AN289=21,I289,0)</f>
        <v>0</v>
      </c>
      <c r="AN289" s="34">
        <v>21</v>
      </c>
      <c r="AO289" s="34">
        <f>H289*0.329066148</f>
        <v>0</v>
      </c>
      <c r="AP289" s="34">
        <f>H289*(1-0.329066148)</f>
        <v>0</v>
      </c>
      <c r="AQ289" s="65" t="s">
        <v>129</v>
      </c>
      <c r="AV289" s="34">
        <f>ROUND(AW289+AX289,2)</f>
        <v>0</v>
      </c>
      <c r="AW289" s="34">
        <f>ROUND(G289*AO289,2)</f>
        <v>0</v>
      </c>
      <c r="AX289" s="34">
        <f>ROUND(G289*AP289,2)</f>
        <v>0</v>
      </c>
      <c r="AY289" s="65" t="s">
        <v>635</v>
      </c>
      <c r="AZ289" s="65" t="s">
        <v>636</v>
      </c>
      <c r="BA289" s="46" t="s">
        <v>136</v>
      </c>
      <c r="BC289" s="34">
        <f>AW289+AX289</f>
        <v>0</v>
      </c>
      <c r="BD289" s="34">
        <f>H289/(100-BE289)*100</f>
        <v>0</v>
      </c>
      <c r="BE289" s="34">
        <v>0</v>
      </c>
      <c r="BF289" s="34">
        <f>289</f>
        <v>289</v>
      </c>
      <c r="BH289" s="34">
        <f>G289*AO289</f>
        <v>0</v>
      </c>
      <c r="BI289" s="34">
        <f>G289*AP289</f>
        <v>0</v>
      </c>
      <c r="BJ289" s="34">
        <f>G289*H289</f>
        <v>0</v>
      </c>
      <c r="BK289" s="34"/>
      <c r="BL289" s="34">
        <v>61</v>
      </c>
      <c r="BW289" s="34">
        <v>21</v>
      </c>
      <c r="BX289" s="3" t="s">
        <v>634</v>
      </c>
    </row>
    <row r="290" spans="1:76" ht="13.5" customHeight="1" x14ac:dyDescent="0.25">
      <c r="A290" s="66"/>
      <c r="C290" s="69" t="s">
        <v>204</v>
      </c>
      <c r="D290" s="169" t="s">
        <v>637</v>
      </c>
      <c r="E290" s="170"/>
      <c r="F290" s="170"/>
      <c r="G290" s="170"/>
      <c r="H290" s="171"/>
      <c r="I290" s="170"/>
      <c r="J290" s="170"/>
      <c r="K290" s="172"/>
    </row>
    <row r="291" spans="1:76" x14ac:dyDescent="0.25">
      <c r="A291" s="66"/>
      <c r="D291" s="67" t="s">
        <v>140</v>
      </c>
      <c r="E291" s="67" t="s">
        <v>638</v>
      </c>
      <c r="G291" s="68">
        <v>2</v>
      </c>
      <c r="K291" s="59"/>
    </row>
    <row r="292" spans="1:76" x14ac:dyDescent="0.25">
      <c r="A292" s="1" t="s">
        <v>639</v>
      </c>
      <c r="B292" s="2" t="s">
        <v>84</v>
      </c>
      <c r="C292" s="2" t="s">
        <v>640</v>
      </c>
      <c r="D292" s="86" t="s">
        <v>641</v>
      </c>
      <c r="E292" s="81"/>
      <c r="F292" s="2" t="s">
        <v>132</v>
      </c>
      <c r="G292" s="34">
        <v>1042</v>
      </c>
      <c r="H292" s="64">
        <v>0</v>
      </c>
      <c r="I292" s="34">
        <f>ROUND(G292*H292,2)</f>
        <v>0</v>
      </c>
      <c r="J292" s="65" t="s">
        <v>133</v>
      </c>
      <c r="K292" s="59"/>
      <c r="Z292" s="34">
        <f>ROUND(IF(AQ292="5",BJ292,0),2)</f>
        <v>0</v>
      </c>
      <c r="AB292" s="34">
        <f>ROUND(IF(AQ292="1",BH292,0),2)</f>
        <v>0</v>
      </c>
      <c r="AC292" s="34">
        <f>ROUND(IF(AQ292="1",BI292,0),2)</f>
        <v>0</v>
      </c>
      <c r="AD292" s="34">
        <f>ROUND(IF(AQ292="7",BH292,0),2)</f>
        <v>0</v>
      </c>
      <c r="AE292" s="34">
        <f>ROUND(IF(AQ292="7",BI292,0),2)</f>
        <v>0</v>
      </c>
      <c r="AF292" s="34">
        <f>ROUND(IF(AQ292="2",BH292,0),2)</f>
        <v>0</v>
      </c>
      <c r="AG292" s="34">
        <f>ROUND(IF(AQ292="2",BI292,0),2)</f>
        <v>0</v>
      </c>
      <c r="AH292" s="34">
        <f>ROUND(IF(AQ292="0",BJ292,0),2)</f>
        <v>0</v>
      </c>
      <c r="AI292" s="46" t="s">
        <v>84</v>
      </c>
      <c r="AJ292" s="34">
        <f>IF(AN292=0,I292,0)</f>
        <v>0</v>
      </c>
      <c r="AK292" s="34">
        <f>IF(AN292=12,I292,0)</f>
        <v>0</v>
      </c>
      <c r="AL292" s="34">
        <f>IF(AN292=21,I292,0)</f>
        <v>0</v>
      </c>
      <c r="AN292" s="34">
        <v>21</v>
      </c>
      <c r="AO292" s="34">
        <f>H292*0.265633803</f>
        <v>0</v>
      </c>
      <c r="AP292" s="34">
        <f>H292*(1-0.265633803)</f>
        <v>0</v>
      </c>
      <c r="AQ292" s="65" t="s">
        <v>129</v>
      </c>
      <c r="AV292" s="34">
        <f>ROUND(AW292+AX292,2)</f>
        <v>0</v>
      </c>
      <c r="AW292" s="34">
        <f>ROUND(G292*AO292,2)</f>
        <v>0</v>
      </c>
      <c r="AX292" s="34">
        <f>ROUND(G292*AP292,2)</f>
        <v>0</v>
      </c>
      <c r="AY292" s="65" t="s">
        <v>635</v>
      </c>
      <c r="AZ292" s="65" t="s">
        <v>636</v>
      </c>
      <c r="BA292" s="46" t="s">
        <v>136</v>
      </c>
      <c r="BC292" s="34">
        <f>AW292+AX292</f>
        <v>0</v>
      </c>
      <c r="BD292" s="34">
        <f>H292/(100-BE292)*100</f>
        <v>0</v>
      </c>
      <c r="BE292" s="34">
        <v>0</v>
      </c>
      <c r="BF292" s="34">
        <f>292</f>
        <v>292</v>
      </c>
      <c r="BH292" s="34">
        <f>G292*AO292</f>
        <v>0</v>
      </c>
      <c r="BI292" s="34">
        <f>G292*AP292</f>
        <v>0</v>
      </c>
      <c r="BJ292" s="34">
        <f>G292*H292</f>
        <v>0</v>
      </c>
      <c r="BK292" s="34"/>
      <c r="BL292" s="34">
        <v>61</v>
      </c>
      <c r="BW292" s="34">
        <v>21</v>
      </c>
      <c r="BX292" s="3" t="s">
        <v>641</v>
      </c>
    </row>
    <row r="293" spans="1:76" ht="13.5" customHeight="1" x14ac:dyDescent="0.25">
      <c r="A293" s="66"/>
      <c r="C293" s="69" t="s">
        <v>204</v>
      </c>
      <c r="D293" s="169" t="s">
        <v>642</v>
      </c>
      <c r="E293" s="170"/>
      <c r="F293" s="170"/>
      <c r="G293" s="170"/>
      <c r="H293" s="171"/>
      <c r="I293" s="170"/>
      <c r="J293" s="170"/>
      <c r="K293" s="172"/>
    </row>
    <row r="294" spans="1:76" x14ac:dyDescent="0.25">
      <c r="A294" s="66"/>
      <c r="D294" s="67" t="s">
        <v>643</v>
      </c>
      <c r="E294" s="67" t="s">
        <v>4</v>
      </c>
      <c r="G294" s="68">
        <v>680</v>
      </c>
      <c r="K294" s="59"/>
    </row>
    <row r="295" spans="1:76" x14ac:dyDescent="0.25">
      <c r="A295" s="66"/>
      <c r="D295" s="67" t="s">
        <v>644</v>
      </c>
      <c r="E295" s="67" t="s">
        <v>645</v>
      </c>
      <c r="G295" s="68">
        <v>350</v>
      </c>
      <c r="K295" s="59"/>
    </row>
    <row r="296" spans="1:76" x14ac:dyDescent="0.25">
      <c r="A296" s="66"/>
      <c r="D296" s="67" t="s">
        <v>138</v>
      </c>
      <c r="E296" s="67" t="s">
        <v>646</v>
      </c>
      <c r="G296" s="68">
        <v>12</v>
      </c>
      <c r="K296" s="59"/>
    </row>
    <row r="297" spans="1:76" x14ac:dyDescent="0.25">
      <c r="A297" s="1" t="s">
        <v>647</v>
      </c>
      <c r="B297" s="2" t="s">
        <v>84</v>
      </c>
      <c r="C297" s="2" t="s">
        <v>648</v>
      </c>
      <c r="D297" s="86" t="s">
        <v>649</v>
      </c>
      <c r="E297" s="81"/>
      <c r="F297" s="2" t="s">
        <v>132</v>
      </c>
      <c r="G297" s="34">
        <v>1792</v>
      </c>
      <c r="H297" s="64">
        <v>0</v>
      </c>
      <c r="I297" s="34">
        <f>ROUND(G297*H297,2)</f>
        <v>0</v>
      </c>
      <c r="J297" s="65" t="s">
        <v>133</v>
      </c>
      <c r="K297" s="59"/>
      <c r="Z297" s="34">
        <f>ROUND(IF(AQ297="5",BJ297,0),2)</f>
        <v>0</v>
      </c>
      <c r="AB297" s="34">
        <f>ROUND(IF(AQ297="1",BH297,0),2)</f>
        <v>0</v>
      </c>
      <c r="AC297" s="34">
        <f>ROUND(IF(AQ297="1",BI297,0),2)</f>
        <v>0</v>
      </c>
      <c r="AD297" s="34">
        <f>ROUND(IF(AQ297="7",BH297,0),2)</f>
        <v>0</v>
      </c>
      <c r="AE297" s="34">
        <f>ROUND(IF(AQ297="7",BI297,0),2)</f>
        <v>0</v>
      </c>
      <c r="AF297" s="34">
        <f>ROUND(IF(AQ297="2",BH297,0),2)</f>
        <v>0</v>
      </c>
      <c r="AG297" s="34">
        <f>ROUND(IF(AQ297="2",BI297,0),2)</f>
        <v>0</v>
      </c>
      <c r="AH297" s="34">
        <f>ROUND(IF(AQ297="0",BJ297,0),2)</f>
        <v>0</v>
      </c>
      <c r="AI297" s="46" t="s">
        <v>84</v>
      </c>
      <c r="AJ297" s="34">
        <f>IF(AN297=0,I297,0)</f>
        <v>0</v>
      </c>
      <c r="AK297" s="34">
        <f>IF(AN297=12,I297,0)</f>
        <v>0</v>
      </c>
      <c r="AL297" s="34">
        <f>IF(AN297=21,I297,0)</f>
        <v>0</v>
      </c>
      <c r="AN297" s="34">
        <v>21</v>
      </c>
      <c r="AO297" s="34">
        <f>H297*0.375247209</f>
        <v>0</v>
      </c>
      <c r="AP297" s="34">
        <f>H297*(1-0.375247209)</f>
        <v>0</v>
      </c>
      <c r="AQ297" s="65" t="s">
        <v>129</v>
      </c>
      <c r="AV297" s="34">
        <f>ROUND(AW297+AX297,2)</f>
        <v>0</v>
      </c>
      <c r="AW297" s="34">
        <f>ROUND(G297*AO297,2)</f>
        <v>0</v>
      </c>
      <c r="AX297" s="34">
        <f>ROUND(G297*AP297,2)</f>
        <v>0</v>
      </c>
      <c r="AY297" s="65" t="s">
        <v>635</v>
      </c>
      <c r="AZ297" s="65" t="s">
        <v>636</v>
      </c>
      <c r="BA297" s="46" t="s">
        <v>136</v>
      </c>
      <c r="BC297" s="34">
        <f>AW297+AX297</f>
        <v>0</v>
      </c>
      <c r="BD297" s="34">
        <f>H297/(100-BE297)*100</f>
        <v>0</v>
      </c>
      <c r="BE297" s="34">
        <v>0</v>
      </c>
      <c r="BF297" s="34">
        <f>297</f>
        <v>297</v>
      </c>
      <c r="BH297" s="34">
        <f>G297*AO297</f>
        <v>0</v>
      </c>
      <c r="BI297" s="34">
        <f>G297*AP297</f>
        <v>0</v>
      </c>
      <c r="BJ297" s="34">
        <f>G297*H297</f>
        <v>0</v>
      </c>
      <c r="BK297" s="34"/>
      <c r="BL297" s="34">
        <v>61</v>
      </c>
      <c r="BW297" s="34">
        <v>21</v>
      </c>
      <c r="BX297" s="3" t="s">
        <v>649</v>
      </c>
    </row>
    <row r="298" spans="1:76" x14ac:dyDescent="0.25">
      <c r="A298" s="66"/>
      <c r="D298" s="67" t="s">
        <v>650</v>
      </c>
      <c r="E298" s="67" t="s">
        <v>4</v>
      </c>
      <c r="G298" s="68">
        <v>1100</v>
      </c>
      <c r="K298" s="59"/>
    </row>
    <row r="299" spans="1:76" x14ac:dyDescent="0.25">
      <c r="A299" s="66"/>
      <c r="D299" s="67" t="s">
        <v>643</v>
      </c>
      <c r="E299" s="67" t="s">
        <v>4</v>
      </c>
      <c r="G299" s="68">
        <v>680</v>
      </c>
      <c r="K299" s="59"/>
    </row>
    <row r="300" spans="1:76" x14ac:dyDescent="0.25">
      <c r="A300" s="66"/>
      <c r="D300" s="67" t="s">
        <v>138</v>
      </c>
      <c r="E300" s="67" t="s">
        <v>646</v>
      </c>
      <c r="G300" s="68">
        <v>12</v>
      </c>
      <c r="K300" s="59"/>
    </row>
    <row r="301" spans="1:76" x14ac:dyDescent="0.25">
      <c r="A301" s="1" t="s">
        <v>651</v>
      </c>
      <c r="B301" s="2" t="s">
        <v>84</v>
      </c>
      <c r="C301" s="2" t="s">
        <v>652</v>
      </c>
      <c r="D301" s="86" t="s">
        <v>653</v>
      </c>
      <c r="E301" s="81"/>
      <c r="F301" s="2" t="s">
        <v>132</v>
      </c>
      <c r="G301" s="34">
        <v>92</v>
      </c>
      <c r="H301" s="64">
        <v>0</v>
      </c>
      <c r="I301" s="34">
        <f>ROUND(G301*H301,2)</f>
        <v>0</v>
      </c>
      <c r="J301" s="65" t="s">
        <v>133</v>
      </c>
      <c r="K301" s="59"/>
      <c r="Z301" s="34">
        <f>ROUND(IF(AQ301="5",BJ301,0),2)</f>
        <v>0</v>
      </c>
      <c r="AB301" s="34">
        <f>ROUND(IF(AQ301="1",BH301,0),2)</f>
        <v>0</v>
      </c>
      <c r="AC301" s="34">
        <f>ROUND(IF(AQ301="1",BI301,0),2)</f>
        <v>0</v>
      </c>
      <c r="AD301" s="34">
        <f>ROUND(IF(AQ301="7",BH301,0),2)</f>
        <v>0</v>
      </c>
      <c r="AE301" s="34">
        <f>ROUND(IF(AQ301="7",BI301,0),2)</f>
        <v>0</v>
      </c>
      <c r="AF301" s="34">
        <f>ROUND(IF(AQ301="2",BH301,0),2)</f>
        <v>0</v>
      </c>
      <c r="AG301" s="34">
        <f>ROUND(IF(AQ301="2",BI301,0),2)</f>
        <v>0</v>
      </c>
      <c r="AH301" s="34">
        <f>ROUND(IF(AQ301="0",BJ301,0),2)</f>
        <v>0</v>
      </c>
      <c r="AI301" s="46" t="s">
        <v>84</v>
      </c>
      <c r="AJ301" s="34">
        <f>IF(AN301=0,I301,0)</f>
        <v>0</v>
      </c>
      <c r="AK301" s="34">
        <f>IF(AN301=12,I301,0)</f>
        <v>0</v>
      </c>
      <c r="AL301" s="34">
        <f>IF(AN301=21,I301,0)</f>
        <v>0</v>
      </c>
      <c r="AN301" s="34">
        <v>21</v>
      </c>
      <c r="AO301" s="34">
        <f>H301*0.308047619</f>
        <v>0</v>
      </c>
      <c r="AP301" s="34">
        <f>H301*(1-0.308047619)</f>
        <v>0</v>
      </c>
      <c r="AQ301" s="65" t="s">
        <v>129</v>
      </c>
      <c r="AV301" s="34">
        <f>ROUND(AW301+AX301,2)</f>
        <v>0</v>
      </c>
      <c r="AW301" s="34">
        <f>ROUND(G301*AO301,2)</f>
        <v>0</v>
      </c>
      <c r="AX301" s="34">
        <f>ROUND(G301*AP301,2)</f>
        <v>0</v>
      </c>
      <c r="AY301" s="65" t="s">
        <v>635</v>
      </c>
      <c r="AZ301" s="65" t="s">
        <v>636</v>
      </c>
      <c r="BA301" s="46" t="s">
        <v>136</v>
      </c>
      <c r="BC301" s="34">
        <f>AW301+AX301</f>
        <v>0</v>
      </c>
      <c r="BD301" s="34">
        <f>H301/(100-BE301)*100</f>
        <v>0</v>
      </c>
      <c r="BE301" s="34">
        <v>0</v>
      </c>
      <c r="BF301" s="34">
        <f>301</f>
        <v>301</v>
      </c>
      <c r="BH301" s="34">
        <f>G301*AO301</f>
        <v>0</v>
      </c>
      <c r="BI301" s="34">
        <f>G301*AP301</f>
        <v>0</v>
      </c>
      <c r="BJ301" s="34">
        <f>G301*H301</f>
        <v>0</v>
      </c>
      <c r="BK301" s="34"/>
      <c r="BL301" s="34">
        <v>61</v>
      </c>
      <c r="BW301" s="34">
        <v>21</v>
      </c>
      <c r="BX301" s="3" t="s">
        <v>653</v>
      </c>
    </row>
    <row r="302" spans="1:76" ht="13.5" customHeight="1" x14ac:dyDescent="0.25">
      <c r="A302" s="66"/>
      <c r="C302" s="69" t="s">
        <v>204</v>
      </c>
      <c r="D302" s="169" t="s">
        <v>654</v>
      </c>
      <c r="E302" s="170"/>
      <c r="F302" s="170"/>
      <c r="G302" s="170"/>
      <c r="H302" s="171"/>
      <c r="I302" s="170"/>
      <c r="J302" s="170"/>
      <c r="K302" s="172"/>
    </row>
    <row r="303" spans="1:76" x14ac:dyDescent="0.25">
      <c r="A303" s="66"/>
      <c r="D303" s="67" t="s">
        <v>655</v>
      </c>
      <c r="E303" s="67" t="s">
        <v>4</v>
      </c>
      <c r="G303" s="68">
        <v>80</v>
      </c>
      <c r="K303" s="59"/>
    </row>
    <row r="304" spans="1:76" x14ac:dyDescent="0.25">
      <c r="A304" s="66"/>
      <c r="D304" s="67" t="s">
        <v>138</v>
      </c>
      <c r="E304" s="67" t="s">
        <v>646</v>
      </c>
      <c r="G304" s="68">
        <v>12</v>
      </c>
      <c r="K304" s="59"/>
    </row>
    <row r="305" spans="1:76" x14ac:dyDescent="0.25">
      <c r="A305" s="60" t="s">
        <v>4</v>
      </c>
      <c r="B305" s="61" t="s">
        <v>84</v>
      </c>
      <c r="C305" s="61" t="s">
        <v>591</v>
      </c>
      <c r="D305" s="167" t="s">
        <v>656</v>
      </c>
      <c r="E305" s="168"/>
      <c r="F305" s="62" t="s">
        <v>79</v>
      </c>
      <c r="G305" s="62" t="s">
        <v>79</v>
      </c>
      <c r="H305" s="63" t="s">
        <v>79</v>
      </c>
      <c r="I305" s="39">
        <f>SUM(I306:I341)</f>
        <v>0</v>
      </c>
      <c r="J305" s="46" t="s">
        <v>4</v>
      </c>
      <c r="K305" s="59"/>
      <c r="AI305" s="46" t="s">
        <v>84</v>
      </c>
      <c r="AS305" s="39">
        <f>SUM(AJ306:AJ341)</f>
        <v>0</v>
      </c>
      <c r="AT305" s="39">
        <f>SUM(AK306:AK341)</f>
        <v>0</v>
      </c>
      <c r="AU305" s="39">
        <f>SUM(AL306:AL341)</f>
        <v>0</v>
      </c>
    </row>
    <row r="306" spans="1:76" x14ac:dyDescent="0.25">
      <c r="A306" s="1" t="s">
        <v>657</v>
      </c>
      <c r="B306" s="2" t="s">
        <v>84</v>
      </c>
      <c r="C306" s="2" t="s">
        <v>658</v>
      </c>
      <c r="D306" s="86" t="s">
        <v>659</v>
      </c>
      <c r="E306" s="81"/>
      <c r="F306" s="2" t="s">
        <v>239</v>
      </c>
      <c r="G306" s="34">
        <v>38.200000000000003</v>
      </c>
      <c r="H306" s="64">
        <v>0</v>
      </c>
      <c r="I306" s="34">
        <f>ROUND(G306*H306,2)</f>
        <v>0</v>
      </c>
      <c r="J306" s="65" t="s">
        <v>133</v>
      </c>
      <c r="K306" s="59"/>
      <c r="Z306" s="34">
        <f>ROUND(IF(AQ306="5",BJ306,0),2)</f>
        <v>0</v>
      </c>
      <c r="AB306" s="34">
        <f>ROUND(IF(AQ306="1",BH306,0),2)</f>
        <v>0</v>
      </c>
      <c r="AC306" s="34">
        <f>ROUND(IF(AQ306="1",BI306,0),2)</f>
        <v>0</v>
      </c>
      <c r="AD306" s="34">
        <f>ROUND(IF(AQ306="7",BH306,0),2)</f>
        <v>0</v>
      </c>
      <c r="AE306" s="34">
        <f>ROUND(IF(AQ306="7",BI306,0),2)</f>
        <v>0</v>
      </c>
      <c r="AF306" s="34">
        <f>ROUND(IF(AQ306="2",BH306,0),2)</f>
        <v>0</v>
      </c>
      <c r="AG306" s="34">
        <f>ROUND(IF(AQ306="2",BI306,0),2)</f>
        <v>0</v>
      </c>
      <c r="AH306" s="34">
        <f>ROUND(IF(AQ306="0",BJ306,0),2)</f>
        <v>0</v>
      </c>
      <c r="AI306" s="46" t="s">
        <v>84</v>
      </c>
      <c r="AJ306" s="34">
        <f>IF(AN306=0,I306,0)</f>
        <v>0</v>
      </c>
      <c r="AK306" s="34">
        <f>IF(AN306=12,I306,0)</f>
        <v>0</v>
      </c>
      <c r="AL306" s="34">
        <f>IF(AN306=21,I306,0)</f>
        <v>0</v>
      </c>
      <c r="AN306" s="34">
        <v>21</v>
      </c>
      <c r="AO306" s="34">
        <f>H306*0.578021402</f>
        <v>0</v>
      </c>
      <c r="AP306" s="34">
        <f>H306*(1-0.578021402)</f>
        <v>0</v>
      </c>
      <c r="AQ306" s="65" t="s">
        <v>129</v>
      </c>
      <c r="AV306" s="34">
        <f>ROUND(AW306+AX306,2)</f>
        <v>0</v>
      </c>
      <c r="AW306" s="34">
        <f>ROUND(G306*AO306,2)</f>
        <v>0</v>
      </c>
      <c r="AX306" s="34">
        <f>ROUND(G306*AP306,2)</f>
        <v>0</v>
      </c>
      <c r="AY306" s="65" t="s">
        <v>660</v>
      </c>
      <c r="AZ306" s="65" t="s">
        <v>636</v>
      </c>
      <c r="BA306" s="46" t="s">
        <v>136</v>
      </c>
      <c r="BC306" s="34">
        <f>AW306+AX306</f>
        <v>0</v>
      </c>
      <c r="BD306" s="34">
        <f>H306/(100-BE306)*100</f>
        <v>0</v>
      </c>
      <c r="BE306" s="34">
        <v>0</v>
      </c>
      <c r="BF306" s="34">
        <f>306</f>
        <v>306</v>
      </c>
      <c r="BH306" s="34">
        <f>G306*AO306</f>
        <v>0</v>
      </c>
      <c r="BI306" s="34">
        <f>G306*AP306</f>
        <v>0</v>
      </c>
      <c r="BJ306" s="34">
        <f>G306*H306</f>
        <v>0</v>
      </c>
      <c r="BK306" s="34"/>
      <c r="BL306" s="34">
        <v>62</v>
      </c>
      <c r="BW306" s="34">
        <v>21</v>
      </c>
      <c r="BX306" s="3" t="s">
        <v>659</v>
      </c>
    </row>
    <row r="307" spans="1:76" x14ac:dyDescent="0.25">
      <c r="A307" s="66"/>
      <c r="D307" s="67" t="s">
        <v>661</v>
      </c>
      <c r="E307" s="67" t="s">
        <v>662</v>
      </c>
      <c r="G307" s="68">
        <v>38.200000000000003</v>
      </c>
      <c r="K307" s="59"/>
    </row>
    <row r="308" spans="1:76" x14ac:dyDescent="0.25">
      <c r="A308" s="1" t="s">
        <v>663</v>
      </c>
      <c r="B308" s="2" t="s">
        <v>84</v>
      </c>
      <c r="C308" s="2" t="s">
        <v>664</v>
      </c>
      <c r="D308" s="86" t="s">
        <v>665</v>
      </c>
      <c r="E308" s="81"/>
      <c r="F308" s="2" t="s">
        <v>132</v>
      </c>
      <c r="G308" s="34">
        <v>198.31475</v>
      </c>
      <c r="H308" s="64">
        <v>0</v>
      </c>
      <c r="I308" s="34">
        <f>ROUND(G308*H308,2)</f>
        <v>0</v>
      </c>
      <c r="J308" s="65" t="s">
        <v>133</v>
      </c>
      <c r="K308" s="59"/>
      <c r="Z308" s="34">
        <f>ROUND(IF(AQ308="5",BJ308,0),2)</f>
        <v>0</v>
      </c>
      <c r="AB308" s="34">
        <f>ROUND(IF(AQ308="1",BH308,0),2)</f>
        <v>0</v>
      </c>
      <c r="AC308" s="34">
        <f>ROUND(IF(AQ308="1",BI308,0),2)</f>
        <v>0</v>
      </c>
      <c r="AD308" s="34">
        <f>ROUND(IF(AQ308="7",BH308,0),2)</f>
        <v>0</v>
      </c>
      <c r="AE308" s="34">
        <f>ROUND(IF(AQ308="7",BI308,0),2)</f>
        <v>0</v>
      </c>
      <c r="AF308" s="34">
        <f>ROUND(IF(AQ308="2",BH308,0),2)</f>
        <v>0</v>
      </c>
      <c r="AG308" s="34">
        <f>ROUND(IF(AQ308="2",BI308,0),2)</f>
        <v>0</v>
      </c>
      <c r="AH308" s="34">
        <f>ROUND(IF(AQ308="0",BJ308,0),2)</f>
        <v>0</v>
      </c>
      <c r="AI308" s="46" t="s">
        <v>84</v>
      </c>
      <c r="AJ308" s="34">
        <f>IF(AN308=0,I308,0)</f>
        <v>0</v>
      </c>
      <c r="AK308" s="34">
        <f>IF(AN308=12,I308,0)</f>
        <v>0</v>
      </c>
      <c r="AL308" s="34">
        <f>IF(AN308=21,I308,0)</f>
        <v>0</v>
      </c>
      <c r="AN308" s="34">
        <v>21</v>
      </c>
      <c r="AO308" s="34">
        <f>H308*0.642978571</f>
        <v>0</v>
      </c>
      <c r="AP308" s="34">
        <f>H308*(1-0.642978571)</f>
        <v>0</v>
      </c>
      <c r="AQ308" s="65" t="s">
        <v>129</v>
      </c>
      <c r="AV308" s="34">
        <f>ROUND(AW308+AX308,2)</f>
        <v>0</v>
      </c>
      <c r="AW308" s="34">
        <f>ROUND(G308*AO308,2)</f>
        <v>0</v>
      </c>
      <c r="AX308" s="34">
        <f>ROUND(G308*AP308,2)</f>
        <v>0</v>
      </c>
      <c r="AY308" s="65" t="s">
        <v>660</v>
      </c>
      <c r="AZ308" s="65" t="s">
        <v>636</v>
      </c>
      <c r="BA308" s="46" t="s">
        <v>136</v>
      </c>
      <c r="BC308" s="34">
        <f>AW308+AX308</f>
        <v>0</v>
      </c>
      <c r="BD308" s="34">
        <f>H308/(100-BE308)*100</f>
        <v>0</v>
      </c>
      <c r="BE308" s="34">
        <v>0</v>
      </c>
      <c r="BF308" s="34">
        <f>308</f>
        <v>308</v>
      </c>
      <c r="BH308" s="34">
        <f>G308*AO308</f>
        <v>0</v>
      </c>
      <c r="BI308" s="34">
        <f>G308*AP308</f>
        <v>0</v>
      </c>
      <c r="BJ308" s="34">
        <f>G308*H308</f>
        <v>0</v>
      </c>
      <c r="BK308" s="34"/>
      <c r="BL308" s="34">
        <v>62</v>
      </c>
      <c r="BW308" s="34">
        <v>21</v>
      </c>
      <c r="BX308" s="3" t="s">
        <v>665</v>
      </c>
    </row>
    <row r="309" spans="1:76" ht="13.5" customHeight="1" x14ac:dyDescent="0.25">
      <c r="A309" s="66"/>
      <c r="C309" s="69" t="s">
        <v>204</v>
      </c>
      <c r="D309" s="169" t="s">
        <v>666</v>
      </c>
      <c r="E309" s="170"/>
      <c r="F309" s="170"/>
      <c r="G309" s="170"/>
      <c r="H309" s="171"/>
      <c r="I309" s="170"/>
      <c r="J309" s="170"/>
      <c r="K309" s="172"/>
    </row>
    <row r="310" spans="1:76" x14ac:dyDescent="0.25">
      <c r="A310" s="66"/>
      <c r="D310" s="67" t="s">
        <v>667</v>
      </c>
      <c r="E310" s="67" t="s">
        <v>668</v>
      </c>
      <c r="G310" s="68">
        <v>74.459999999999994</v>
      </c>
      <c r="K310" s="59"/>
    </row>
    <row r="311" spans="1:76" x14ac:dyDescent="0.25">
      <c r="A311" s="66"/>
      <c r="D311" s="67" t="s">
        <v>309</v>
      </c>
      <c r="E311" s="67" t="s">
        <v>4</v>
      </c>
      <c r="G311" s="68">
        <v>-1.1180000000000001</v>
      </c>
      <c r="K311" s="59"/>
    </row>
    <row r="312" spans="1:76" x14ac:dyDescent="0.25">
      <c r="A312" s="66"/>
      <c r="D312" s="67" t="s">
        <v>669</v>
      </c>
      <c r="E312" s="67" t="s">
        <v>4</v>
      </c>
      <c r="G312" s="68">
        <v>-1.48525</v>
      </c>
      <c r="K312" s="59"/>
    </row>
    <row r="313" spans="1:76" x14ac:dyDescent="0.25">
      <c r="A313" s="66"/>
      <c r="D313" s="67" t="s">
        <v>311</v>
      </c>
      <c r="E313" s="67" t="s">
        <v>4</v>
      </c>
      <c r="G313" s="68">
        <v>-1.2024999999999999</v>
      </c>
      <c r="K313" s="59"/>
    </row>
    <row r="314" spans="1:76" x14ac:dyDescent="0.25">
      <c r="A314" s="66"/>
      <c r="D314" s="67" t="s">
        <v>312</v>
      </c>
      <c r="E314" s="67" t="s">
        <v>4</v>
      </c>
      <c r="G314" s="68">
        <v>-0.46800000000000003</v>
      </c>
      <c r="K314" s="59"/>
    </row>
    <row r="315" spans="1:76" x14ac:dyDescent="0.25">
      <c r="A315" s="66"/>
      <c r="D315" s="67" t="s">
        <v>313</v>
      </c>
      <c r="E315" s="67" t="s">
        <v>4</v>
      </c>
      <c r="G315" s="68">
        <v>-0.51024999999999998</v>
      </c>
      <c r="K315" s="59"/>
    </row>
    <row r="316" spans="1:76" x14ac:dyDescent="0.25">
      <c r="A316" s="66"/>
      <c r="D316" s="67" t="s">
        <v>670</v>
      </c>
      <c r="E316" s="67" t="s">
        <v>4</v>
      </c>
      <c r="G316" s="68">
        <v>-1.2935000000000001</v>
      </c>
      <c r="K316" s="59"/>
    </row>
    <row r="317" spans="1:76" x14ac:dyDescent="0.25">
      <c r="A317" s="66"/>
      <c r="D317" s="67" t="s">
        <v>315</v>
      </c>
      <c r="E317" s="67" t="s">
        <v>4</v>
      </c>
      <c r="G317" s="68">
        <v>-1.2317499999999999</v>
      </c>
      <c r="K317" s="59"/>
    </row>
    <row r="318" spans="1:76" x14ac:dyDescent="0.25">
      <c r="A318" s="66"/>
      <c r="D318" s="67" t="s">
        <v>671</v>
      </c>
      <c r="E318" s="67" t="s">
        <v>672</v>
      </c>
      <c r="G318" s="68">
        <v>87.36</v>
      </c>
      <c r="K318" s="59"/>
    </row>
    <row r="319" spans="1:76" x14ac:dyDescent="0.25">
      <c r="A319" s="66"/>
      <c r="D319" s="67" t="s">
        <v>318</v>
      </c>
      <c r="E319" s="67" t="s">
        <v>4</v>
      </c>
      <c r="G319" s="68">
        <v>-12.996</v>
      </c>
      <c r="K319" s="59"/>
    </row>
    <row r="320" spans="1:76" x14ac:dyDescent="0.25">
      <c r="A320" s="66"/>
      <c r="D320" s="67" t="s">
        <v>673</v>
      </c>
      <c r="E320" s="67" t="s">
        <v>674</v>
      </c>
      <c r="G320" s="68">
        <v>56.8</v>
      </c>
      <c r="K320" s="59"/>
    </row>
    <row r="321" spans="1:76" x14ac:dyDescent="0.25">
      <c r="A321" s="1" t="s">
        <v>675</v>
      </c>
      <c r="B321" s="2" t="s">
        <v>84</v>
      </c>
      <c r="C321" s="2" t="s">
        <v>676</v>
      </c>
      <c r="D321" s="86" t="s">
        <v>677</v>
      </c>
      <c r="E321" s="81"/>
      <c r="F321" s="2" t="s">
        <v>132</v>
      </c>
      <c r="G321" s="34">
        <v>3.75</v>
      </c>
      <c r="H321" s="64">
        <v>0</v>
      </c>
      <c r="I321" s="34">
        <f>ROUND(G321*H321,2)</f>
        <v>0</v>
      </c>
      <c r="J321" s="65" t="s">
        <v>133</v>
      </c>
      <c r="K321" s="59"/>
      <c r="Z321" s="34">
        <f>ROUND(IF(AQ321="5",BJ321,0),2)</f>
        <v>0</v>
      </c>
      <c r="AB321" s="34">
        <f>ROUND(IF(AQ321="1",BH321,0),2)</f>
        <v>0</v>
      </c>
      <c r="AC321" s="34">
        <f>ROUND(IF(AQ321="1",BI321,0),2)</f>
        <v>0</v>
      </c>
      <c r="AD321" s="34">
        <f>ROUND(IF(AQ321="7",BH321,0),2)</f>
        <v>0</v>
      </c>
      <c r="AE321" s="34">
        <f>ROUND(IF(AQ321="7",BI321,0),2)</f>
        <v>0</v>
      </c>
      <c r="AF321" s="34">
        <f>ROUND(IF(AQ321="2",BH321,0),2)</f>
        <v>0</v>
      </c>
      <c r="AG321" s="34">
        <f>ROUND(IF(AQ321="2",BI321,0),2)</f>
        <v>0</v>
      </c>
      <c r="AH321" s="34">
        <f>ROUND(IF(AQ321="0",BJ321,0),2)</f>
        <v>0</v>
      </c>
      <c r="AI321" s="46" t="s">
        <v>84</v>
      </c>
      <c r="AJ321" s="34">
        <f>IF(AN321=0,I321,0)</f>
        <v>0</v>
      </c>
      <c r="AK321" s="34">
        <f>IF(AN321=12,I321,0)</f>
        <v>0</v>
      </c>
      <c r="AL321" s="34">
        <f>IF(AN321=21,I321,0)</f>
        <v>0</v>
      </c>
      <c r="AN321" s="34">
        <v>21</v>
      </c>
      <c r="AO321" s="34">
        <f>H321*0.648852391</f>
        <v>0</v>
      </c>
      <c r="AP321" s="34">
        <f>H321*(1-0.648852391)</f>
        <v>0</v>
      </c>
      <c r="AQ321" s="65" t="s">
        <v>129</v>
      </c>
      <c r="AV321" s="34">
        <f>ROUND(AW321+AX321,2)</f>
        <v>0</v>
      </c>
      <c r="AW321" s="34">
        <f>ROUND(G321*AO321,2)</f>
        <v>0</v>
      </c>
      <c r="AX321" s="34">
        <f>ROUND(G321*AP321,2)</f>
        <v>0</v>
      </c>
      <c r="AY321" s="65" t="s">
        <v>660</v>
      </c>
      <c r="AZ321" s="65" t="s">
        <v>636</v>
      </c>
      <c r="BA321" s="46" t="s">
        <v>136</v>
      </c>
      <c r="BC321" s="34">
        <f>AW321+AX321</f>
        <v>0</v>
      </c>
      <c r="BD321" s="34">
        <f>H321/(100-BE321)*100</f>
        <v>0</v>
      </c>
      <c r="BE321" s="34">
        <v>0</v>
      </c>
      <c r="BF321" s="34">
        <f>321</f>
        <v>321</v>
      </c>
      <c r="BH321" s="34">
        <f>G321*AO321</f>
        <v>0</v>
      </c>
      <c r="BI321" s="34">
        <f>G321*AP321</f>
        <v>0</v>
      </c>
      <c r="BJ321" s="34">
        <f>G321*H321</f>
        <v>0</v>
      </c>
      <c r="BK321" s="34"/>
      <c r="BL321" s="34">
        <v>62</v>
      </c>
      <c r="BW321" s="34">
        <v>21</v>
      </c>
      <c r="BX321" s="3" t="s">
        <v>677</v>
      </c>
    </row>
    <row r="322" spans="1:76" ht="13.5" customHeight="1" x14ac:dyDescent="0.25">
      <c r="A322" s="66"/>
      <c r="C322" s="69" t="s">
        <v>204</v>
      </c>
      <c r="D322" s="169" t="s">
        <v>678</v>
      </c>
      <c r="E322" s="170"/>
      <c r="F322" s="170"/>
      <c r="G322" s="170"/>
      <c r="H322" s="171"/>
      <c r="I322" s="170"/>
      <c r="J322" s="170"/>
      <c r="K322" s="172"/>
    </row>
    <row r="323" spans="1:76" x14ac:dyDescent="0.25">
      <c r="A323" s="66"/>
      <c r="D323" s="67" t="s">
        <v>679</v>
      </c>
      <c r="E323" s="67" t="s">
        <v>4</v>
      </c>
      <c r="G323" s="68">
        <v>3.75</v>
      </c>
      <c r="K323" s="59"/>
    </row>
    <row r="324" spans="1:76" x14ac:dyDescent="0.25">
      <c r="A324" s="1" t="s">
        <v>680</v>
      </c>
      <c r="B324" s="2" t="s">
        <v>84</v>
      </c>
      <c r="C324" s="2" t="s">
        <v>681</v>
      </c>
      <c r="D324" s="86" t="s">
        <v>682</v>
      </c>
      <c r="E324" s="81"/>
      <c r="F324" s="2" t="s">
        <v>132</v>
      </c>
      <c r="G324" s="34">
        <v>7.5</v>
      </c>
      <c r="H324" s="64">
        <v>0</v>
      </c>
      <c r="I324" s="34">
        <f>ROUND(G324*H324,2)</f>
        <v>0</v>
      </c>
      <c r="J324" s="65" t="s">
        <v>133</v>
      </c>
      <c r="K324" s="59"/>
      <c r="Z324" s="34">
        <f>ROUND(IF(AQ324="5",BJ324,0),2)</f>
        <v>0</v>
      </c>
      <c r="AB324" s="34">
        <f>ROUND(IF(AQ324="1",BH324,0),2)</f>
        <v>0</v>
      </c>
      <c r="AC324" s="34">
        <f>ROUND(IF(AQ324="1",BI324,0),2)</f>
        <v>0</v>
      </c>
      <c r="AD324" s="34">
        <f>ROUND(IF(AQ324="7",BH324,0),2)</f>
        <v>0</v>
      </c>
      <c r="AE324" s="34">
        <f>ROUND(IF(AQ324="7",BI324,0),2)</f>
        <v>0</v>
      </c>
      <c r="AF324" s="34">
        <f>ROUND(IF(AQ324="2",BH324,0),2)</f>
        <v>0</v>
      </c>
      <c r="AG324" s="34">
        <f>ROUND(IF(AQ324="2",BI324,0),2)</f>
        <v>0</v>
      </c>
      <c r="AH324" s="34">
        <f>ROUND(IF(AQ324="0",BJ324,0),2)</f>
        <v>0</v>
      </c>
      <c r="AI324" s="46" t="s">
        <v>84</v>
      </c>
      <c r="AJ324" s="34">
        <f>IF(AN324=0,I324,0)</f>
        <v>0</v>
      </c>
      <c r="AK324" s="34">
        <f>IF(AN324=12,I324,0)</f>
        <v>0</v>
      </c>
      <c r="AL324" s="34">
        <f>IF(AN324=21,I324,0)</f>
        <v>0</v>
      </c>
      <c r="AN324" s="34">
        <v>21</v>
      </c>
      <c r="AO324" s="34">
        <f>H324*0.732579471</f>
        <v>0</v>
      </c>
      <c r="AP324" s="34">
        <f>H324*(1-0.732579471)</f>
        <v>0</v>
      </c>
      <c r="AQ324" s="65" t="s">
        <v>129</v>
      </c>
      <c r="AV324" s="34">
        <f>ROUND(AW324+AX324,2)</f>
        <v>0</v>
      </c>
      <c r="AW324" s="34">
        <f>ROUND(G324*AO324,2)</f>
        <v>0</v>
      </c>
      <c r="AX324" s="34">
        <f>ROUND(G324*AP324,2)</f>
        <v>0</v>
      </c>
      <c r="AY324" s="65" t="s">
        <v>660</v>
      </c>
      <c r="AZ324" s="65" t="s">
        <v>636</v>
      </c>
      <c r="BA324" s="46" t="s">
        <v>136</v>
      </c>
      <c r="BC324" s="34">
        <f>AW324+AX324</f>
        <v>0</v>
      </c>
      <c r="BD324" s="34">
        <f>H324/(100-BE324)*100</f>
        <v>0</v>
      </c>
      <c r="BE324" s="34">
        <v>0</v>
      </c>
      <c r="BF324" s="34">
        <f>324</f>
        <v>324</v>
      </c>
      <c r="BH324" s="34">
        <f>G324*AO324</f>
        <v>0</v>
      </c>
      <c r="BI324" s="34">
        <f>G324*AP324</f>
        <v>0</v>
      </c>
      <c r="BJ324" s="34">
        <f>G324*H324</f>
        <v>0</v>
      </c>
      <c r="BK324" s="34"/>
      <c r="BL324" s="34">
        <v>62</v>
      </c>
      <c r="BW324" s="34">
        <v>21</v>
      </c>
      <c r="BX324" s="3" t="s">
        <v>682</v>
      </c>
    </row>
    <row r="325" spans="1:76" x14ac:dyDescent="0.25">
      <c r="A325" s="66"/>
      <c r="D325" s="67" t="s">
        <v>683</v>
      </c>
      <c r="E325" s="67" t="s">
        <v>4</v>
      </c>
      <c r="G325" s="68">
        <v>7.5</v>
      </c>
      <c r="K325" s="59"/>
    </row>
    <row r="326" spans="1:76" x14ac:dyDescent="0.25">
      <c r="A326" s="1" t="s">
        <v>684</v>
      </c>
      <c r="B326" s="2" t="s">
        <v>84</v>
      </c>
      <c r="C326" s="2" t="s">
        <v>685</v>
      </c>
      <c r="D326" s="86" t="s">
        <v>686</v>
      </c>
      <c r="E326" s="81"/>
      <c r="F326" s="2" t="s">
        <v>132</v>
      </c>
      <c r="G326" s="34">
        <v>1.3</v>
      </c>
      <c r="H326" s="64">
        <v>0</v>
      </c>
      <c r="I326" s="34">
        <f>ROUND(G326*H326,2)</f>
        <v>0</v>
      </c>
      <c r="J326" s="65" t="s">
        <v>133</v>
      </c>
      <c r="K326" s="59"/>
      <c r="Z326" s="34">
        <f>ROUND(IF(AQ326="5",BJ326,0),2)</f>
        <v>0</v>
      </c>
      <c r="AB326" s="34">
        <f>ROUND(IF(AQ326="1",BH326,0),2)</f>
        <v>0</v>
      </c>
      <c r="AC326" s="34">
        <f>ROUND(IF(AQ326="1",BI326,0),2)</f>
        <v>0</v>
      </c>
      <c r="AD326" s="34">
        <f>ROUND(IF(AQ326="7",BH326,0),2)</f>
        <v>0</v>
      </c>
      <c r="AE326" s="34">
        <f>ROUND(IF(AQ326="7",BI326,0),2)</f>
        <v>0</v>
      </c>
      <c r="AF326" s="34">
        <f>ROUND(IF(AQ326="2",BH326,0),2)</f>
        <v>0</v>
      </c>
      <c r="AG326" s="34">
        <f>ROUND(IF(AQ326="2",BI326,0),2)</f>
        <v>0</v>
      </c>
      <c r="AH326" s="34">
        <f>ROUND(IF(AQ326="0",BJ326,0),2)</f>
        <v>0</v>
      </c>
      <c r="AI326" s="46" t="s">
        <v>84</v>
      </c>
      <c r="AJ326" s="34">
        <f>IF(AN326=0,I326,0)</f>
        <v>0</v>
      </c>
      <c r="AK326" s="34">
        <f>IF(AN326=12,I326,0)</f>
        <v>0</v>
      </c>
      <c r="AL326" s="34">
        <f>IF(AN326=21,I326,0)</f>
        <v>0</v>
      </c>
      <c r="AN326" s="34">
        <v>21</v>
      </c>
      <c r="AO326" s="34">
        <f>H326*0.490489331</f>
        <v>0</v>
      </c>
      <c r="AP326" s="34">
        <f>H326*(1-0.490489331)</f>
        <v>0</v>
      </c>
      <c r="AQ326" s="65" t="s">
        <v>129</v>
      </c>
      <c r="AV326" s="34">
        <f>ROUND(AW326+AX326,2)</f>
        <v>0</v>
      </c>
      <c r="AW326" s="34">
        <f>ROUND(G326*AO326,2)</f>
        <v>0</v>
      </c>
      <c r="AX326" s="34">
        <f>ROUND(G326*AP326,2)</f>
        <v>0</v>
      </c>
      <c r="AY326" s="65" t="s">
        <v>660</v>
      </c>
      <c r="AZ326" s="65" t="s">
        <v>636</v>
      </c>
      <c r="BA326" s="46" t="s">
        <v>136</v>
      </c>
      <c r="BC326" s="34">
        <f>AW326+AX326</f>
        <v>0</v>
      </c>
      <c r="BD326" s="34">
        <f>H326/(100-BE326)*100</f>
        <v>0</v>
      </c>
      <c r="BE326" s="34">
        <v>0</v>
      </c>
      <c r="BF326" s="34">
        <f>326</f>
        <v>326</v>
      </c>
      <c r="BH326" s="34">
        <f>G326*AO326</f>
        <v>0</v>
      </c>
      <c r="BI326" s="34">
        <f>G326*AP326</f>
        <v>0</v>
      </c>
      <c r="BJ326" s="34">
        <f>G326*H326</f>
        <v>0</v>
      </c>
      <c r="BK326" s="34"/>
      <c r="BL326" s="34">
        <v>62</v>
      </c>
      <c r="BW326" s="34">
        <v>21</v>
      </c>
      <c r="BX326" s="3" t="s">
        <v>686</v>
      </c>
    </row>
    <row r="327" spans="1:76" ht="13.5" customHeight="1" x14ac:dyDescent="0.25">
      <c r="A327" s="66"/>
      <c r="C327" s="69" t="s">
        <v>204</v>
      </c>
      <c r="D327" s="169" t="s">
        <v>687</v>
      </c>
      <c r="E327" s="170"/>
      <c r="F327" s="170"/>
      <c r="G327" s="170"/>
      <c r="H327" s="171"/>
      <c r="I327" s="170"/>
      <c r="J327" s="170"/>
      <c r="K327" s="172"/>
    </row>
    <row r="328" spans="1:76" x14ac:dyDescent="0.25">
      <c r="A328" s="66"/>
      <c r="D328" s="67" t="s">
        <v>688</v>
      </c>
      <c r="E328" s="67" t="s">
        <v>689</v>
      </c>
      <c r="G328" s="68">
        <v>1.3</v>
      </c>
      <c r="K328" s="59"/>
    </row>
    <row r="329" spans="1:76" x14ac:dyDescent="0.25">
      <c r="A329" s="1" t="s">
        <v>690</v>
      </c>
      <c r="B329" s="2" t="s">
        <v>84</v>
      </c>
      <c r="C329" s="2" t="s">
        <v>691</v>
      </c>
      <c r="D329" s="86" t="s">
        <v>692</v>
      </c>
      <c r="E329" s="81"/>
      <c r="F329" s="2" t="s">
        <v>239</v>
      </c>
      <c r="G329" s="34">
        <v>61.744999999999997</v>
      </c>
      <c r="H329" s="64">
        <v>0</v>
      </c>
      <c r="I329" s="34">
        <f>ROUND(G329*H329,2)</f>
        <v>0</v>
      </c>
      <c r="J329" s="65" t="s">
        <v>133</v>
      </c>
      <c r="K329" s="59"/>
      <c r="Z329" s="34">
        <f>ROUND(IF(AQ329="5",BJ329,0),2)</f>
        <v>0</v>
      </c>
      <c r="AB329" s="34">
        <f>ROUND(IF(AQ329="1",BH329,0),2)</f>
        <v>0</v>
      </c>
      <c r="AC329" s="34">
        <f>ROUND(IF(AQ329="1",BI329,0),2)</f>
        <v>0</v>
      </c>
      <c r="AD329" s="34">
        <f>ROUND(IF(AQ329="7",BH329,0),2)</f>
        <v>0</v>
      </c>
      <c r="AE329" s="34">
        <f>ROUND(IF(AQ329="7",BI329,0),2)</f>
        <v>0</v>
      </c>
      <c r="AF329" s="34">
        <f>ROUND(IF(AQ329="2",BH329,0),2)</f>
        <v>0</v>
      </c>
      <c r="AG329" s="34">
        <f>ROUND(IF(AQ329="2",BI329,0),2)</f>
        <v>0</v>
      </c>
      <c r="AH329" s="34">
        <f>ROUND(IF(AQ329="0",BJ329,0),2)</f>
        <v>0</v>
      </c>
      <c r="AI329" s="46" t="s">
        <v>84</v>
      </c>
      <c r="AJ329" s="34">
        <f>IF(AN329=0,I329,0)</f>
        <v>0</v>
      </c>
      <c r="AK329" s="34">
        <f>IF(AN329=12,I329,0)</f>
        <v>0</v>
      </c>
      <c r="AL329" s="34">
        <f>IF(AN329=21,I329,0)</f>
        <v>0</v>
      </c>
      <c r="AN329" s="34">
        <v>21</v>
      </c>
      <c r="AO329" s="34">
        <f>H329*0.479506464</f>
        <v>0</v>
      </c>
      <c r="AP329" s="34">
        <f>H329*(1-0.479506464)</f>
        <v>0</v>
      </c>
      <c r="AQ329" s="65" t="s">
        <v>129</v>
      </c>
      <c r="AV329" s="34">
        <f>ROUND(AW329+AX329,2)</f>
        <v>0</v>
      </c>
      <c r="AW329" s="34">
        <f>ROUND(G329*AO329,2)</f>
        <v>0</v>
      </c>
      <c r="AX329" s="34">
        <f>ROUND(G329*AP329,2)</f>
        <v>0</v>
      </c>
      <c r="AY329" s="65" t="s">
        <v>660</v>
      </c>
      <c r="AZ329" s="65" t="s">
        <v>636</v>
      </c>
      <c r="BA329" s="46" t="s">
        <v>136</v>
      </c>
      <c r="BC329" s="34">
        <f>AW329+AX329</f>
        <v>0</v>
      </c>
      <c r="BD329" s="34">
        <f>H329/(100-BE329)*100</f>
        <v>0</v>
      </c>
      <c r="BE329" s="34">
        <v>0</v>
      </c>
      <c r="BF329" s="34">
        <f>329</f>
        <v>329</v>
      </c>
      <c r="BH329" s="34">
        <f>G329*AO329</f>
        <v>0</v>
      </c>
      <c r="BI329" s="34">
        <f>G329*AP329</f>
        <v>0</v>
      </c>
      <c r="BJ329" s="34">
        <f>G329*H329</f>
        <v>0</v>
      </c>
      <c r="BK329" s="34"/>
      <c r="BL329" s="34">
        <v>62</v>
      </c>
      <c r="BW329" s="34">
        <v>21</v>
      </c>
      <c r="BX329" s="3" t="s">
        <v>692</v>
      </c>
    </row>
    <row r="330" spans="1:76" x14ac:dyDescent="0.25">
      <c r="A330" s="66"/>
      <c r="D330" s="67" t="s">
        <v>693</v>
      </c>
      <c r="E330" s="67" t="s">
        <v>694</v>
      </c>
      <c r="G330" s="68">
        <v>41.4</v>
      </c>
      <c r="K330" s="59"/>
    </row>
    <row r="331" spans="1:76" x14ac:dyDescent="0.25">
      <c r="A331" s="66"/>
      <c r="D331" s="67" t="s">
        <v>695</v>
      </c>
      <c r="E331" s="67" t="s">
        <v>4</v>
      </c>
      <c r="G331" s="68">
        <v>3.02</v>
      </c>
      <c r="K331" s="59"/>
    </row>
    <row r="332" spans="1:76" x14ac:dyDescent="0.25">
      <c r="A332" s="66"/>
      <c r="D332" s="67" t="s">
        <v>696</v>
      </c>
      <c r="E332" s="67" t="s">
        <v>4</v>
      </c>
      <c r="G332" s="68">
        <v>3.585</v>
      </c>
      <c r="K332" s="59"/>
    </row>
    <row r="333" spans="1:76" x14ac:dyDescent="0.25">
      <c r="A333" s="66"/>
      <c r="D333" s="67" t="s">
        <v>697</v>
      </c>
      <c r="E333" s="67" t="s">
        <v>4</v>
      </c>
      <c r="G333" s="68">
        <v>3.15</v>
      </c>
      <c r="K333" s="59"/>
    </row>
    <row r="334" spans="1:76" x14ac:dyDescent="0.25">
      <c r="A334" s="66"/>
      <c r="D334" s="67" t="s">
        <v>698</v>
      </c>
      <c r="E334" s="67" t="s">
        <v>4</v>
      </c>
      <c r="G334" s="68">
        <v>2.02</v>
      </c>
      <c r="K334" s="59"/>
    </row>
    <row r="335" spans="1:76" x14ac:dyDescent="0.25">
      <c r="A335" s="66"/>
      <c r="D335" s="67" t="s">
        <v>699</v>
      </c>
      <c r="E335" s="67" t="s">
        <v>4</v>
      </c>
      <c r="G335" s="68">
        <v>2.085</v>
      </c>
      <c r="K335" s="59"/>
    </row>
    <row r="336" spans="1:76" x14ac:dyDescent="0.25">
      <c r="A336" s="66"/>
      <c r="D336" s="67" t="s">
        <v>700</v>
      </c>
      <c r="E336" s="67" t="s">
        <v>4</v>
      </c>
      <c r="G336" s="68">
        <v>3.29</v>
      </c>
      <c r="K336" s="59"/>
    </row>
    <row r="337" spans="1:76" x14ac:dyDescent="0.25">
      <c r="A337" s="66"/>
      <c r="D337" s="67" t="s">
        <v>701</v>
      </c>
      <c r="E337" s="67" t="s">
        <v>4</v>
      </c>
      <c r="G337" s="68">
        <v>3.1949999999999998</v>
      </c>
      <c r="K337" s="59"/>
    </row>
    <row r="338" spans="1:76" x14ac:dyDescent="0.25">
      <c r="A338" s="1" t="s">
        <v>655</v>
      </c>
      <c r="B338" s="2" t="s">
        <v>84</v>
      </c>
      <c r="C338" s="2" t="s">
        <v>702</v>
      </c>
      <c r="D338" s="86" t="s">
        <v>703</v>
      </c>
      <c r="E338" s="81"/>
      <c r="F338" s="2" t="s">
        <v>239</v>
      </c>
      <c r="G338" s="34">
        <v>62</v>
      </c>
      <c r="H338" s="64">
        <v>0</v>
      </c>
      <c r="I338" s="34">
        <f>ROUND(G338*H338,2)</f>
        <v>0</v>
      </c>
      <c r="J338" s="65" t="s">
        <v>133</v>
      </c>
      <c r="K338" s="59"/>
      <c r="Z338" s="34">
        <f>ROUND(IF(AQ338="5",BJ338,0),2)</f>
        <v>0</v>
      </c>
      <c r="AB338" s="34">
        <f>ROUND(IF(AQ338="1",BH338,0),2)</f>
        <v>0</v>
      </c>
      <c r="AC338" s="34">
        <f>ROUND(IF(AQ338="1",BI338,0),2)</f>
        <v>0</v>
      </c>
      <c r="AD338" s="34">
        <f>ROUND(IF(AQ338="7",BH338,0),2)</f>
        <v>0</v>
      </c>
      <c r="AE338" s="34">
        <f>ROUND(IF(AQ338="7",BI338,0),2)</f>
        <v>0</v>
      </c>
      <c r="AF338" s="34">
        <f>ROUND(IF(AQ338="2",BH338,0),2)</f>
        <v>0</v>
      </c>
      <c r="AG338" s="34">
        <f>ROUND(IF(AQ338="2",BI338,0),2)</f>
        <v>0</v>
      </c>
      <c r="AH338" s="34">
        <f>ROUND(IF(AQ338="0",BJ338,0),2)</f>
        <v>0</v>
      </c>
      <c r="AI338" s="46" t="s">
        <v>84</v>
      </c>
      <c r="AJ338" s="34">
        <f>IF(AN338=0,I338,0)</f>
        <v>0</v>
      </c>
      <c r="AK338" s="34">
        <f>IF(AN338=12,I338,0)</f>
        <v>0</v>
      </c>
      <c r="AL338" s="34">
        <f>IF(AN338=21,I338,0)</f>
        <v>0</v>
      </c>
      <c r="AN338" s="34">
        <v>21</v>
      </c>
      <c r="AO338" s="34">
        <f>H338*0.393873518</f>
        <v>0</v>
      </c>
      <c r="AP338" s="34">
        <f>H338*(1-0.393873518)</f>
        <v>0</v>
      </c>
      <c r="AQ338" s="65" t="s">
        <v>129</v>
      </c>
      <c r="AV338" s="34">
        <f>ROUND(AW338+AX338,2)</f>
        <v>0</v>
      </c>
      <c r="AW338" s="34">
        <f>ROUND(G338*AO338,2)</f>
        <v>0</v>
      </c>
      <c r="AX338" s="34">
        <f>ROUND(G338*AP338,2)</f>
        <v>0</v>
      </c>
      <c r="AY338" s="65" t="s">
        <v>660</v>
      </c>
      <c r="AZ338" s="65" t="s">
        <v>636</v>
      </c>
      <c r="BA338" s="46" t="s">
        <v>136</v>
      </c>
      <c r="BC338" s="34">
        <f>AW338+AX338</f>
        <v>0</v>
      </c>
      <c r="BD338" s="34">
        <f>H338/(100-BE338)*100</f>
        <v>0</v>
      </c>
      <c r="BE338" s="34">
        <v>0</v>
      </c>
      <c r="BF338" s="34">
        <f>338</f>
        <v>338</v>
      </c>
      <c r="BH338" s="34">
        <f>G338*AO338</f>
        <v>0</v>
      </c>
      <c r="BI338" s="34">
        <f>G338*AP338</f>
        <v>0</v>
      </c>
      <c r="BJ338" s="34">
        <f>G338*H338</f>
        <v>0</v>
      </c>
      <c r="BK338" s="34"/>
      <c r="BL338" s="34">
        <v>62</v>
      </c>
      <c r="BW338" s="34">
        <v>21</v>
      </c>
      <c r="BX338" s="3" t="s">
        <v>703</v>
      </c>
    </row>
    <row r="339" spans="1:76" ht="13.5" customHeight="1" x14ac:dyDescent="0.25">
      <c r="A339" s="66"/>
      <c r="C339" s="69" t="s">
        <v>204</v>
      </c>
      <c r="D339" s="169" t="s">
        <v>704</v>
      </c>
      <c r="E339" s="170"/>
      <c r="F339" s="170"/>
      <c r="G339" s="170"/>
      <c r="H339" s="171"/>
      <c r="I339" s="170"/>
      <c r="J339" s="170"/>
      <c r="K339" s="172"/>
    </row>
    <row r="340" spans="1:76" x14ac:dyDescent="0.25">
      <c r="A340" s="66"/>
      <c r="D340" s="67" t="s">
        <v>591</v>
      </c>
      <c r="E340" s="67" t="s">
        <v>4</v>
      </c>
      <c r="G340" s="68">
        <v>62</v>
      </c>
      <c r="K340" s="59"/>
    </row>
    <row r="341" spans="1:76" x14ac:dyDescent="0.25">
      <c r="A341" s="1" t="s">
        <v>705</v>
      </c>
      <c r="B341" s="2" t="s">
        <v>84</v>
      </c>
      <c r="C341" s="2" t="s">
        <v>706</v>
      </c>
      <c r="D341" s="86" t="s">
        <v>707</v>
      </c>
      <c r="E341" s="81"/>
      <c r="F341" s="2" t="s">
        <v>132</v>
      </c>
      <c r="G341" s="34">
        <v>47</v>
      </c>
      <c r="H341" s="64">
        <v>0</v>
      </c>
      <c r="I341" s="34">
        <f>ROUND(G341*H341,2)</f>
        <v>0</v>
      </c>
      <c r="J341" s="65" t="s">
        <v>133</v>
      </c>
      <c r="K341" s="59"/>
      <c r="Z341" s="34">
        <f>ROUND(IF(AQ341="5",BJ341,0),2)</f>
        <v>0</v>
      </c>
      <c r="AB341" s="34">
        <f>ROUND(IF(AQ341="1",BH341,0),2)</f>
        <v>0</v>
      </c>
      <c r="AC341" s="34">
        <f>ROUND(IF(AQ341="1",BI341,0),2)</f>
        <v>0</v>
      </c>
      <c r="AD341" s="34">
        <f>ROUND(IF(AQ341="7",BH341,0),2)</f>
        <v>0</v>
      </c>
      <c r="AE341" s="34">
        <f>ROUND(IF(AQ341="7",BI341,0),2)</f>
        <v>0</v>
      </c>
      <c r="AF341" s="34">
        <f>ROUND(IF(AQ341="2",BH341,0),2)</f>
        <v>0</v>
      </c>
      <c r="AG341" s="34">
        <f>ROUND(IF(AQ341="2",BI341,0),2)</f>
        <v>0</v>
      </c>
      <c r="AH341" s="34">
        <f>ROUND(IF(AQ341="0",BJ341,0),2)</f>
        <v>0</v>
      </c>
      <c r="AI341" s="46" t="s">
        <v>84</v>
      </c>
      <c r="AJ341" s="34">
        <f>IF(AN341=0,I341,0)</f>
        <v>0</v>
      </c>
      <c r="AK341" s="34">
        <f>IF(AN341=12,I341,0)</f>
        <v>0</v>
      </c>
      <c r="AL341" s="34">
        <f>IF(AN341=21,I341,0)</f>
        <v>0</v>
      </c>
      <c r="AN341" s="34">
        <v>21</v>
      </c>
      <c r="AO341" s="34">
        <f>H341*0.482622951</f>
        <v>0</v>
      </c>
      <c r="AP341" s="34">
        <f>H341*(1-0.482622951)</f>
        <v>0</v>
      </c>
      <c r="AQ341" s="65" t="s">
        <v>129</v>
      </c>
      <c r="AV341" s="34">
        <f>ROUND(AW341+AX341,2)</f>
        <v>0</v>
      </c>
      <c r="AW341" s="34">
        <f>ROUND(G341*AO341,2)</f>
        <v>0</v>
      </c>
      <c r="AX341" s="34">
        <f>ROUND(G341*AP341,2)</f>
        <v>0</v>
      </c>
      <c r="AY341" s="65" t="s">
        <v>660</v>
      </c>
      <c r="AZ341" s="65" t="s">
        <v>636</v>
      </c>
      <c r="BA341" s="46" t="s">
        <v>136</v>
      </c>
      <c r="BC341" s="34">
        <f>AW341+AX341</f>
        <v>0</v>
      </c>
      <c r="BD341" s="34">
        <f>H341/(100-BE341)*100</f>
        <v>0</v>
      </c>
      <c r="BE341" s="34">
        <v>0</v>
      </c>
      <c r="BF341" s="34">
        <f>341</f>
        <v>341</v>
      </c>
      <c r="BH341" s="34">
        <f>G341*AO341</f>
        <v>0</v>
      </c>
      <c r="BI341" s="34">
        <f>G341*AP341</f>
        <v>0</v>
      </c>
      <c r="BJ341" s="34">
        <f>G341*H341</f>
        <v>0</v>
      </c>
      <c r="BK341" s="34"/>
      <c r="BL341" s="34">
        <v>62</v>
      </c>
      <c r="BW341" s="34">
        <v>21</v>
      </c>
      <c r="BX341" s="3" t="s">
        <v>707</v>
      </c>
    </row>
    <row r="342" spans="1:76" ht="13.5" customHeight="1" x14ac:dyDescent="0.25">
      <c r="A342" s="66"/>
      <c r="C342" s="69" t="s">
        <v>204</v>
      </c>
      <c r="D342" s="169" t="s">
        <v>708</v>
      </c>
      <c r="E342" s="170"/>
      <c r="F342" s="170"/>
      <c r="G342" s="170"/>
      <c r="H342" s="171"/>
      <c r="I342" s="170"/>
      <c r="J342" s="170"/>
      <c r="K342" s="172"/>
    </row>
    <row r="343" spans="1:76" x14ac:dyDescent="0.25">
      <c r="A343" s="66"/>
      <c r="D343" s="67" t="s">
        <v>375</v>
      </c>
      <c r="E343" s="67" t="s">
        <v>709</v>
      </c>
      <c r="G343" s="68">
        <v>35</v>
      </c>
      <c r="K343" s="59"/>
    </row>
    <row r="344" spans="1:76" x14ac:dyDescent="0.25">
      <c r="A344" s="66"/>
      <c r="D344" s="67" t="s">
        <v>138</v>
      </c>
      <c r="E344" s="67" t="s">
        <v>646</v>
      </c>
      <c r="G344" s="68">
        <v>12</v>
      </c>
      <c r="K344" s="59"/>
    </row>
    <row r="345" spans="1:76" x14ac:dyDescent="0.25">
      <c r="A345" s="60" t="s">
        <v>4</v>
      </c>
      <c r="B345" s="61" t="s">
        <v>84</v>
      </c>
      <c r="C345" s="61" t="s">
        <v>598</v>
      </c>
      <c r="D345" s="167" t="s">
        <v>710</v>
      </c>
      <c r="E345" s="168"/>
      <c r="F345" s="62" t="s">
        <v>79</v>
      </c>
      <c r="G345" s="62" t="s">
        <v>79</v>
      </c>
      <c r="H345" s="63" t="s">
        <v>79</v>
      </c>
      <c r="I345" s="39">
        <f>SUM(I346:I368)</f>
        <v>0</v>
      </c>
      <c r="J345" s="46" t="s">
        <v>4</v>
      </c>
      <c r="K345" s="59"/>
      <c r="AI345" s="46" t="s">
        <v>84</v>
      </c>
      <c r="AS345" s="39">
        <f>SUM(AJ346:AJ368)</f>
        <v>0</v>
      </c>
      <c r="AT345" s="39">
        <f>SUM(AK346:AK368)</f>
        <v>0</v>
      </c>
      <c r="AU345" s="39">
        <f>SUM(AL346:AL368)</f>
        <v>0</v>
      </c>
    </row>
    <row r="346" spans="1:76" x14ac:dyDescent="0.25">
      <c r="A346" s="1" t="s">
        <v>711</v>
      </c>
      <c r="B346" s="2" t="s">
        <v>84</v>
      </c>
      <c r="C346" s="2" t="s">
        <v>712</v>
      </c>
      <c r="D346" s="86" t="s">
        <v>713</v>
      </c>
      <c r="E346" s="81"/>
      <c r="F346" s="2" t="s">
        <v>132</v>
      </c>
      <c r="G346" s="34">
        <v>533.4</v>
      </c>
      <c r="H346" s="64">
        <v>0</v>
      </c>
      <c r="I346" s="34">
        <f>ROUND(G346*H346,2)</f>
        <v>0</v>
      </c>
      <c r="J346" s="65" t="s">
        <v>133</v>
      </c>
      <c r="K346" s="59"/>
      <c r="Z346" s="34">
        <f>ROUND(IF(AQ346="5",BJ346,0),2)</f>
        <v>0</v>
      </c>
      <c r="AB346" s="34">
        <f>ROUND(IF(AQ346="1",BH346,0),2)</f>
        <v>0</v>
      </c>
      <c r="AC346" s="34">
        <f>ROUND(IF(AQ346="1",BI346,0),2)</f>
        <v>0</v>
      </c>
      <c r="AD346" s="34">
        <f>ROUND(IF(AQ346="7",BH346,0),2)</f>
        <v>0</v>
      </c>
      <c r="AE346" s="34">
        <f>ROUND(IF(AQ346="7",BI346,0),2)</f>
        <v>0</v>
      </c>
      <c r="AF346" s="34">
        <f>ROUND(IF(AQ346="2",BH346,0),2)</f>
        <v>0</v>
      </c>
      <c r="AG346" s="34">
        <f>ROUND(IF(AQ346="2",BI346,0),2)</f>
        <v>0</v>
      </c>
      <c r="AH346" s="34">
        <f>ROUND(IF(AQ346="0",BJ346,0),2)</f>
        <v>0</v>
      </c>
      <c r="AI346" s="46" t="s">
        <v>84</v>
      </c>
      <c r="AJ346" s="34">
        <f>IF(AN346=0,I346,0)</f>
        <v>0</v>
      </c>
      <c r="AK346" s="34">
        <f>IF(AN346=12,I346,0)</f>
        <v>0</v>
      </c>
      <c r="AL346" s="34">
        <f>IF(AN346=21,I346,0)</f>
        <v>0</v>
      </c>
      <c r="AN346" s="34">
        <v>21</v>
      </c>
      <c r="AO346" s="34">
        <f>H346*0.675312262</f>
        <v>0</v>
      </c>
      <c r="AP346" s="34">
        <f>H346*(1-0.675312262)</f>
        <v>0</v>
      </c>
      <c r="AQ346" s="65" t="s">
        <v>129</v>
      </c>
      <c r="AV346" s="34">
        <f>ROUND(AW346+AX346,2)</f>
        <v>0</v>
      </c>
      <c r="AW346" s="34">
        <f>ROUND(G346*AO346,2)</f>
        <v>0</v>
      </c>
      <c r="AX346" s="34">
        <f>ROUND(G346*AP346,2)</f>
        <v>0</v>
      </c>
      <c r="AY346" s="65" t="s">
        <v>714</v>
      </c>
      <c r="AZ346" s="65" t="s">
        <v>636</v>
      </c>
      <c r="BA346" s="46" t="s">
        <v>136</v>
      </c>
      <c r="BC346" s="34">
        <f>AW346+AX346</f>
        <v>0</v>
      </c>
      <c r="BD346" s="34">
        <f>H346/(100-BE346)*100</f>
        <v>0</v>
      </c>
      <c r="BE346" s="34">
        <v>0</v>
      </c>
      <c r="BF346" s="34">
        <f>346</f>
        <v>346</v>
      </c>
      <c r="BH346" s="34">
        <f>G346*AO346</f>
        <v>0</v>
      </c>
      <c r="BI346" s="34">
        <f>G346*AP346</f>
        <v>0</v>
      </c>
      <c r="BJ346" s="34">
        <f>G346*H346</f>
        <v>0</v>
      </c>
      <c r="BK346" s="34"/>
      <c r="BL346" s="34">
        <v>63</v>
      </c>
      <c r="BW346" s="34">
        <v>21</v>
      </c>
      <c r="BX346" s="3" t="s">
        <v>713</v>
      </c>
    </row>
    <row r="347" spans="1:76" x14ac:dyDescent="0.25">
      <c r="A347" s="66"/>
      <c r="D347" s="67" t="s">
        <v>715</v>
      </c>
      <c r="E347" s="67" t="s">
        <v>207</v>
      </c>
      <c r="G347" s="68">
        <v>68.400000000000006</v>
      </c>
      <c r="K347" s="59"/>
    </row>
    <row r="348" spans="1:76" x14ac:dyDescent="0.25">
      <c r="A348" s="66"/>
      <c r="D348" s="67" t="s">
        <v>716</v>
      </c>
      <c r="E348" s="67" t="s">
        <v>717</v>
      </c>
      <c r="G348" s="68">
        <v>1.2</v>
      </c>
      <c r="K348" s="59"/>
    </row>
    <row r="349" spans="1:76" x14ac:dyDescent="0.25">
      <c r="A349" s="66"/>
      <c r="D349" s="67" t="s">
        <v>718</v>
      </c>
      <c r="E349" s="67" t="s">
        <v>224</v>
      </c>
      <c r="G349" s="68">
        <v>226.8</v>
      </c>
      <c r="K349" s="59"/>
    </row>
    <row r="350" spans="1:76" x14ac:dyDescent="0.25">
      <c r="A350" s="66"/>
      <c r="D350" s="67" t="s">
        <v>270</v>
      </c>
      <c r="E350" s="67" t="s">
        <v>719</v>
      </c>
      <c r="G350" s="68">
        <v>19</v>
      </c>
      <c r="K350" s="59"/>
    </row>
    <row r="351" spans="1:76" x14ac:dyDescent="0.25">
      <c r="A351" s="66"/>
      <c r="D351" s="67" t="s">
        <v>720</v>
      </c>
      <c r="E351" s="67" t="s">
        <v>721</v>
      </c>
      <c r="G351" s="68">
        <v>106</v>
      </c>
      <c r="K351" s="59"/>
    </row>
    <row r="352" spans="1:76" x14ac:dyDescent="0.25">
      <c r="A352" s="66"/>
      <c r="D352" s="67" t="s">
        <v>722</v>
      </c>
      <c r="E352" s="67" t="s">
        <v>723</v>
      </c>
      <c r="G352" s="68">
        <v>110</v>
      </c>
      <c r="K352" s="59"/>
    </row>
    <row r="353" spans="1:76" x14ac:dyDescent="0.25">
      <c r="A353" s="66"/>
      <c r="D353" s="67" t="s">
        <v>140</v>
      </c>
      <c r="E353" s="67" t="s">
        <v>581</v>
      </c>
      <c r="G353" s="68">
        <v>2</v>
      </c>
      <c r="K353" s="59"/>
    </row>
    <row r="354" spans="1:76" x14ac:dyDescent="0.25">
      <c r="A354" s="1" t="s">
        <v>724</v>
      </c>
      <c r="B354" s="2" t="s">
        <v>84</v>
      </c>
      <c r="C354" s="2" t="s">
        <v>725</v>
      </c>
      <c r="D354" s="86" t="s">
        <v>217</v>
      </c>
      <c r="E354" s="81"/>
      <c r="F354" s="2" t="s">
        <v>178</v>
      </c>
      <c r="G354" s="34">
        <v>0.80420000000000003</v>
      </c>
      <c r="H354" s="64">
        <v>0</v>
      </c>
      <c r="I354" s="34">
        <f>ROUND(G354*H354,2)</f>
        <v>0</v>
      </c>
      <c r="J354" s="65" t="s">
        <v>133</v>
      </c>
      <c r="K354" s="59"/>
      <c r="Z354" s="34">
        <f>ROUND(IF(AQ354="5",BJ354,0),2)</f>
        <v>0</v>
      </c>
      <c r="AB354" s="34">
        <f>ROUND(IF(AQ354="1",BH354,0),2)</f>
        <v>0</v>
      </c>
      <c r="AC354" s="34">
        <f>ROUND(IF(AQ354="1",BI354,0),2)</f>
        <v>0</v>
      </c>
      <c r="AD354" s="34">
        <f>ROUND(IF(AQ354="7",BH354,0),2)</f>
        <v>0</v>
      </c>
      <c r="AE354" s="34">
        <f>ROUND(IF(AQ354="7",BI354,0),2)</f>
        <v>0</v>
      </c>
      <c r="AF354" s="34">
        <f>ROUND(IF(AQ354="2",BH354,0),2)</f>
        <v>0</v>
      </c>
      <c r="AG354" s="34">
        <f>ROUND(IF(AQ354="2",BI354,0),2)</f>
        <v>0</v>
      </c>
      <c r="AH354" s="34">
        <f>ROUND(IF(AQ354="0",BJ354,0),2)</f>
        <v>0</v>
      </c>
      <c r="AI354" s="46" t="s">
        <v>84</v>
      </c>
      <c r="AJ354" s="34">
        <f>IF(AN354=0,I354,0)</f>
        <v>0</v>
      </c>
      <c r="AK354" s="34">
        <f>IF(AN354=12,I354,0)</f>
        <v>0</v>
      </c>
      <c r="AL354" s="34">
        <f>IF(AN354=21,I354,0)</f>
        <v>0</v>
      </c>
      <c r="AN354" s="34">
        <v>21</v>
      </c>
      <c r="AO354" s="34">
        <f>H354*0.790758001</f>
        <v>0</v>
      </c>
      <c r="AP354" s="34">
        <f>H354*(1-0.790758001)</f>
        <v>0</v>
      </c>
      <c r="AQ354" s="65" t="s">
        <v>129</v>
      </c>
      <c r="AV354" s="34">
        <f>ROUND(AW354+AX354,2)</f>
        <v>0</v>
      </c>
      <c r="AW354" s="34">
        <f>ROUND(G354*AO354,2)</f>
        <v>0</v>
      </c>
      <c r="AX354" s="34">
        <f>ROUND(G354*AP354,2)</f>
        <v>0</v>
      </c>
      <c r="AY354" s="65" t="s">
        <v>714</v>
      </c>
      <c r="AZ354" s="65" t="s">
        <v>636</v>
      </c>
      <c r="BA354" s="46" t="s">
        <v>136</v>
      </c>
      <c r="BC354" s="34">
        <f>AW354+AX354</f>
        <v>0</v>
      </c>
      <c r="BD354" s="34">
        <f>H354/(100-BE354)*100</f>
        <v>0</v>
      </c>
      <c r="BE354" s="34">
        <v>0</v>
      </c>
      <c r="BF354" s="34">
        <f>354</f>
        <v>354</v>
      </c>
      <c r="BH354" s="34">
        <f>G354*AO354</f>
        <v>0</v>
      </c>
      <c r="BI354" s="34">
        <f>G354*AP354</f>
        <v>0</v>
      </c>
      <c r="BJ354" s="34">
        <f>G354*H354</f>
        <v>0</v>
      </c>
      <c r="BK354" s="34"/>
      <c r="BL354" s="34">
        <v>63</v>
      </c>
      <c r="BW354" s="34">
        <v>21</v>
      </c>
      <c r="BX354" s="3" t="s">
        <v>217</v>
      </c>
    </row>
    <row r="355" spans="1:76" x14ac:dyDescent="0.25">
      <c r="A355" s="66"/>
      <c r="D355" s="67" t="s">
        <v>726</v>
      </c>
      <c r="E355" s="67" t="s">
        <v>727</v>
      </c>
      <c r="G355" s="68">
        <v>0.114</v>
      </c>
      <c r="K355" s="59"/>
    </row>
    <row r="356" spans="1:76" x14ac:dyDescent="0.25">
      <c r="A356" s="66"/>
      <c r="D356" s="67" t="s">
        <v>728</v>
      </c>
      <c r="E356" s="67" t="s">
        <v>729</v>
      </c>
      <c r="G356" s="68">
        <v>0.32479999999999998</v>
      </c>
      <c r="K356" s="59"/>
    </row>
    <row r="357" spans="1:76" x14ac:dyDescent="0.25">
      <c r="A357" s="66"/>
      <c r="D357" s="67" t="s">
        <v>730</v>
      </c>
      <c r="E357" s="67" t="s">
        <v>731</v>
      </c>
      <c r="G357" s="68">
        <v>4.0599999999999997E-2</v>
      </c>
      <c r="K357" s="59"/>
    </row>
    <row r="358" spans="1:76" x14ac:dyDescent="0.25">
      <c r="A358" s="66"/>
      <c r="D358" s="67" t="s">
        <v>732</v>
      </c>
      <c r="E358" s="67" t="s">
        <v>733</v>
      </c>
      <c r="G358" s="68">
        <v>0.15428</v>
      </c>
      <c r="K358" s="59"/>
    </row>
    <row r="359" spans="1:76" x14ac:dyDescent="0.25">
      <c r="A359" s="66"/>
      <c r="D359" s="67" t="s">
        <v>734</v>
      </c>
      <c r="E359" s="67" t="s">
        <v>735</v>
      </c>
      <c r="G359" s="68">
        <v>0.16239999999999999</v>
      </c>
      <c r="K359" s="59"/>
    </row>
    <row r="360" spans="1:76" x14ac:dyDescent="0.25">
      <c r="A360" s="66"/>
      <c r="D360" s="67" t="s">
        <v>736</v>
      </c>
      <c r="E360" s="67" t="s">
        <v>737</v>
      </c>
      <c r="G360" s="68">
        <v>8.1200000000000005E-3</v>
      </c>
      <c r="K360" s="59"/>
    </row>
    <row r="361" spans="1:76" x14ac:dyDescent="0.25">
      <c r="A361" s="1" t="s">
        <v>738</v>
      </c>
      <c r="B361" s="2" t="s">
        <v>84</v>
      </c>
      <c r="C361" s="2" t="s">
        <v>739</v>
      </c>
      <c r="D361" s="86" t="s">
        <v>740</v>
      </c>
      <c r="E361" s="81"/>
      <c r="F361" s="2" t="s">
        <v>132</v>
      </c>
      <c r="G361" s="34">
        <v>225.65</v>
      </c>
      <c r="H361" s="64">
        <v>0</v>
      </c>
      <c r="I361" s="34">
        <f>ROUND(G361*H361,2)</f>
        <v>0</v>
      </c>
      <c r="J361" s="65" t="s">
        <v>133</v>
      </c>
      <c r="K361" s="59"/>
      <c r="Z361" s="34">
        <f>ROUND(IF(AQ361="5",BJ361,0),2)</f>
        <v>0</v>
      </c>
      <c r="AB361" s="34">
        <f>ROUND(IF(AQ361="1",BH361,0),2)</f>
        <v>0</v>
      </c>
      <c r="AC361" s="34">
        <f>ROUND(IF(AQ361="1",BI361,0),2)</f>
        <v>0</v>
      </c>
      <c r="AD361" s="34">
        <f>ROUND(IF(AQ361="7",BH361,0),2)</f>
        <v>0</v>
      </c>
      <c r="AE361" s="34">
        <f>ROUND(IF(AQ361="7",BI361,0),2)</f>
        <v>0</v>
      </c>
      <c r="AF361" s="34">
        <f>ROUND(IF(AQ361="2",BH361,0),2)</f>
        <v>0</v>
      </c>
      <c r="AG361" s="34">
        <f>ROUND(IF(AQ361="2",BI361,0),2)</f>
        <v>0</v>
      </c>
      <c r="AH361" s="34">
        <f>ROUND(IF(AQ361="0",BJ361,0),2)</f>
        <v>0</v>
      </c>
      <c r="AI361" s="46" t="s">
        <v>84</v>
      </c>
      <c r="AJ361" s="34">
        <f>IF(AN361=0,I361,0)</f>
        <v>0</v>
      </c>
      <c r="AK361" s="34">
        <f>IF(AN361=12,I361,0)</f>
        <v>0</v>
      </c>
      <c r="AL361" s="34">
        <f>IF(AN361=21,I361,0)</f>
        <v>0</v>
      </c>
      <c r="AN361" s="34">
        <v>21</v>
      </c>
      <c r="AO361" s="34">
        <f>H361*0.541997882</f>
        <v>0</v>
      </c>
      <c r="AP361" s="34">
        <f>H361*(1-0.541997882)</f>
        <v>0</v>
      </c>
      <c r="AQ361" s="65" t="s">
        <v>129</v>
      </c>
      <c r="AV361" s="34">
        <f>ROUND(AW361+AX361,2)</f>
        <v>0</v>
      </c>
      <c r="AW361" s="34">
        <f>ROUND(G361*AO361,2)</f>
        <v>0</v>
      </c>
      <c r="AX361" s="34">
        <f>ROUND(G361*AP361,2)</f>
        <v>0</v>
      </c>
      <c r="AY361" s="65" t="s">
        <v>714</v>
      </c>
      <c r="AZ361" s="65" t="s">
        <v>636</v>
      </c>
      <c r="BA361" s="46" t="s">
        <v>136</v>
      </c>
      <c r="BC361" s="34">
        <f>AW361+AX361</f>
        <v>0</v>
      </c>
      <c r="BD361" s="34">
        <f>H361/(100-BE361)*100</f>
        <v>0</v>
      </c>
      <c r="BE361" s="34">
        <v>0</v>
      </c>
      <c r="BF361" s="34">
        <f>361</f>
        <v>361</v>
      </c>
      <c r="BH361" s="34">
        <f>G361*AO361</f>
        <v>0</v>
      </c>
      <c r="BI361" s="34">
        <f>G361*AP361</f>
        <v>0</v>
      </c>
      <c r="BJ361" s="34">
        <f>G361*H361</f>
        <v>0</v>
      </c>
      <c r="BK361" s="34"/>
      <c r="BL361" s="34">
        <v>63</v>
      </c>
      <c r="BW361" s="34">
        <v>21</v>
      </c>
      <c r="BX361" s="3" t="s">
        <v>740</v>
      </c>
    </row>
    <row r="362" spans="1:76" x14ac:dyDescent="0.25">
      <c r="A362" s="66"/>
      <c r="D362" s="67" t="s">
        <v>741</v>
      </c>
      <c r="E362" s="67" t="s">
        <v>742</v>
      </c>
      <c r="G362" s="68">
        <v>113.65</v>
      </c>
      <c r="K362" s="59"/>
    </row>
    <row r="363" spans="1:76" x14ac:dyDescent="0.25">
      <c r="A363" s="66"/>
      <c r="D363" s="67" t="s">
        <v>722</v>
      </c>
      <c r="E363" s="67" t="s">
        <v>743</v>
      </c>
      <c r="G363" s="68">
        <v>110</v>
      </c>
      <c r="K363" s="59"/>
    </row>
    <row r="364" spans="1:76" x14ac:dyDescent="0.25">
      <c r="A364" s="66"/>
      <c r="D364" s="67" t="s">
        <v>140</v>
      </c>
      <c r="E364" s="67" t="s">
        <v>581</v>
      </c>
      <c r="G364" s="68">
        <v>2</v>
      </c>
      <c r="K364" s="59"/>
    </row>
    <row r="365" spans="1:76" x14ac:dyDescent="0.25">
      <c r="A365" s="1" t="s">
        <v>744</v>
      </c>
      <c r="B365" s="2" t="s">
        <v>84</v>
      </c>
      <c r="C365" s="2" t="s">
        <v>745</v>
      </c>
      <c r="D365" s="86" t="s">
        <v>746</v>
      </c>
      <c r="E365" s="81"/>
      <c r="F365" s="2" t="s">
        <v>132</v>
      </c>
      <c r="G365" s="34">
        <v>219.65</v>
      </c>
      <c r="H365" s="64">
        <v>0</v>
      </c>
      <c r="I365" s="34">
        <f>ROUND(G365*H365,2)</f>
        <v>0</v>
      </c>
      <c r="J365" s="65" t="s">
        <v>133</v>
      </c>
      <c r="K365" s="59"/>
      <c r="Z365" s="34">
        <f>ROUND(IF(AQ365="5",BJ365,0),2)</f>
        <v>0</v>
      </c>
      <c r="AB365" s="34">
        <f>ROUND(IF(AQ365="1",BH365,0),2)</f>
        <v>0</v>
      </c>
      <c r="AC365" s="34">
        <f>ROUND(IF(AQ365="1",BI365,0),2)</f>
        <v>0</v>
      </c>
      <c r="AD365" s="34">
        <f>ROUND(IF(AQ365="7",BH365,0),2)</f>
        <v>0</v>
      </c>
      <c r="AE365" s="34">
        <f>ROUND(IF(AQ365="7",BI365,0),2)</f>
        <v>0</v>
      </c>
      <c r="AF365" s="34">
        <f>ROUND(IF(AQ365="2",BH365,0),2)</f>
        <v>0</v>
      </c>
      <c r="AG365" s="34">
        <f>ROUND(IF(AQ365="2",BI365,0),2)</f>
        <v>0</v>
      </c>
      <c r="AH365" s="34">
        <f>ROUND(IF(AQ365="0",BJ365,0),2)</f>
        <v>0</v>
      </c>
      <c r="AI365" s="46" t="s">
        <v>84</v>
      </c>
      <c r="AJ365" s="34">
        <f>IF(AN365=0,I365,0)</f>
        <v>0</v>
      </c>
      <c r="AK365" s="34">
        <f>IF(AN365=12,I365,0)</f>
        <v>0</v>
      </c>
      <c r="AL365" s="34">
        <f>IF(AN365=21,I365,0)</f>
        <v>0</v>
      </c>
      <c r="AN365" s="34">
        <v>21</v>
      </c>
      <c r="AO365" s="34">
        <f>H365*0</f>
        <v>0</v>
      </c>
      <c r="AP365" s="34">
        <f>H365*(1-0)</f>
        <v>0</v>
      </c>
      <c r="AQ365" s="65" t="s">
        <v>129</v>
      </c>
      <c r="AV365" s="34">
        <f>ROUND(AW365+AX365,2)</f>
        <v>0</v>
      </c>
      <c r="AW365" s="34">
        <f>ROUND(G365*AO365,2)</f>
        <v>0</v>
      </c>
      <c r="AX365" s="34">
        <f>ROUND(G365*AP365,2)</f>
        <v>0</v>
      </c>
      <c r="AY365" s="65" t="s">
        <v>714</v>
      </c>
      <c r="AZ365" s="65" t="s">
        <v>636</v>
      </c>
      <c r="BA365" s="46" t="s">
        <v>136</v>
      </c>
      <c r="BC365" s="34">
        <f>AW365+AX365</f>
        <v>0</v>
      </c>
      <c r="BD365" s="34">
        <f>H365/(100-BE365)*100</f>
        <v>0</v>
      </c>
      <c r="BE365" s="34">
        <v>0</v>
      </c>
      <c r="BF365" s="34">
        <f>365</f>
        <v>365</v>
      </c>
      <c r="BH365" s="34">
        <f>G365*AO365</f>
        <v>0</v>
      </c>
      <c r="BI365" s="34">
        <f>G365*AP365</f>
        <v>0</v>
      </c>
      <c r="BJ365" s="34">
        <f>G365*H365</f>
        <v>0</v>
      </c>
      <c r="BK365" s="34"/>
      <c r="BL365" s="34">
        <v>63</v>
      </c>
      <c r="BW365" s="34">
        <v>21</v>
      </c>
      <c r="BX365" s="3" t="s">
        <v>746</v>
      </c>
    </row>
    <row r="366" spans="1:76" x14ac:dyDescent="0.25">
      <c r="A366" s="66"/>
      <c r="D366" s="67" t="s">
        <v>741</v>
      </c>
      <c r="E366" s="67" t="s">
        <v>747</v>
      </c>
      <c r="G366" s="68">
        <v>113.65</v>
      </c>
      <c r="K366" s="59"/>
    </row>
    <row r="367" spans="1:76" x14ac:dyDescent="0.25">
      <c r="A367" s="66"/>
      <c r="D367" s="67" t="s">
        <v>720</v>
      </c>
      <c r="E367" s="67" t="s">
        <v>748</v>
      </c>
      <c r="G367" s="68">
        <v>106</v>
      </c>
      <c r="K367" s="59"/>
    </row>
    <row r="368" spans="1:76" x14ac:dyDescent="0.25">
      <c r="A368" s="1" t="s">
        <v>749</v>
      </c>
      <c r="B368" s="2" t="s">
        <v>84</v>
      </c>
      <c r="C368" s="2" t="s">
        <v>750</v>
      </c>
      <c r="D368" s="86" t="s">
        <v>751</v>
      </c>
      <c r="E368" s="81"/>
      <c r="F368" s="2" t="s">
        <v>143</v>
      </c>
      <c r="G368" s="34">
        <v>3.42</v>
      </c>
      <c r="H368" s="64">
        <v>0</v>
      </c>
      <c r="I368" s="34">
        <f>ROUND(G368*H368,2)</f>
        <v>0</v>
      </c>
      <c r="J368" s="65" t="s">
        <v>133</v>
      </c>
      <c r="K368" s="59"/>
      <c r="Z368" s="34">
        <f>ROUND(IF(AQ368="5",BJ368,0),2)</f>
        <v>0</v>
      </c>
      <c r="AB368" s="34">
        <f>ROUND(IF(AQ368="1",BH368,0),2)</f>
        <v>0</v>
      </c>
      <c r="AC368" s="34">
        <f>ROUND(IF(AQ368="1",BI368,0),2)</f>
        <v>0</v>
      </c>
      <c r="AD368" s="34">
        <f>ROUND(IF(AQ368="7",BH368,0),2)</f>
        <v>0</v>
      </c>
      <c r="AE368" s="34">
        <f>ROUND(IF(AQ368="7",BI368,0),2)</f>
        <v>0</v>
      </c>
      <c r="AF368" s="34">
        <f>ROUND(IF(AQ368="2",BH368,0),2)</f>
        <v>0</v>
      </c>
      <c r="AG368" s="34">
        <f>ROUND(IF(AQ368="2",BI368,0),2)</f>
        <v>0</v>
      </c>
      <c r="AH368" s="34">
        <f>ROUND(IF(AQ368="0",BJ368,0),2)</f>
        <v>0</v>
      </c>
      <c r="AI368" s="46" t="s">
        <v>84</v>
      </c>
      <c r="AJ368" s="34">
        <f>IF(AN368=0,I368,0)</f>
        <v>0</v>
      </c>
      <c r="AK368" s="34">
        <f>IF(AN368=12,I368,0)</f>
        <v>0</v>
      </c>
      <c r="AL368" s="34">
        <f>IF(AN368=21,I368,0)</f>
        <v>0</v>
      </c>
      <c r="AN368" s="34">
        <v>21</v>
      </c>
      <c r="AO368" s="34">
        <f>H368*0.712319037</f>
        <v>0</v>
      </c>
      <c r="AP368" s="34">
        <f>H368*(1-0.712319037)</f>
        <v>0</v>
      </c>
      <c r="AQ368" s="65" t="s">
        <v>129</v>
      </c>
      <c r="AV368" s="34">
        <f>ROUND(AW368+AX368,2)</f>
        <v>0</v>
      </c>
      <c r="AW368" s="34">
        <f>ROUND(G368*AO368,2)</f>
        <v>0</v>
      </c>
      <c r="AX368" s="34">
        <f>ROUND(G368*AP368,2)</f>
        <v>0</v>
      </c>
      <c r="AY368" s="65" t="s">
        <v>714</v>
      </c>
      <c r="AZ368" s="65" t="s">
        <v>636</v>
      </c>
      <c r="BA368" s="46" t="s">
        <v>136</v>
      </c>
      <c r="BC368" s="34">
        <f>AW368+AX368</f>
        <v>0</v>
      </c>
      <c r="BD368" s="34">
        <f>H368/(100-BE368)*100</f>
        <v>0</v>
      </c>
      <c r="BE368" s="34">
        <v>0</v>
      </c>
      <c r="BF368" s="34">
        <f>368</f>
        <v>368</v>
      </c>
      <c r="BH368" s="34">
        <f>G368*AO368</f>
        <v>0</v>
      </c>
      <c r="BI368" s="34">
        <f>G368*AP368</f>
        <v>0</v>
      </c>
      <c r="BJ368" s="34">
        <f>G368*H368</f>
        <v>0</v>
      </c>
      <c r="BK368" s="34"/>
      <c r="BL368" s="34">
        <v>63</v>
      </c>
      <c r="BW368" s="34">
        <v>21</v>
      </c>
      <c r="BX368" s="3" t="s">
        <v>751</v>
      </c>
    </row>
    <row r="369" spans="1:76" x14ac:dyDescent="0.25">
      <c r="A369" s="66"/>
      <c r="D369" s="67" t="s">
        <v>752</v>
      </c>
      <c r="E369" s="67" t="s">
        <v>753</v>
      </c>
      <c r="G369" s="68">
        <v>3.42</v>
      </c>
      <c r="K369" s="59"/>
    </row>
    <row r="370" spans="1:76" x14ac:dyDescent="0.25">
      <c r="A370" s="60" t="s">
        <v>4</v>
      </c>
      <c r="B370" s="61" t="s">
        <v>84</v>
      </c>
      <c r="C370" s="61" t="s">
        <v>602</v>
      </c>
      <c r="D370" s="167" t="s">
        <v>754</v>
      </c>
      <c r="E370" s="168"/>
      <c r="F370" s="62" t="s">
        <v>79</v>
      </c>
      <c r="G370" s="62" t="s">
        <v>79</v>
      </c>
      <c r="H370" s="63" t="s">
        <v>79</v>
      </c>
      <c r="I370" s="39">
        <f>SUM(I371:I400)</f>
        <v>0</v>
      </c>
      <c r="J370" s="46" t="s">
        <v>4</v>
      </c>
      <c r="K370" s="59"/>
      <c r="AI370" s="46" t="s">
        <v>84</v>
      </c>
      <c r="AS370" s="39">
        <f>SUM(AJ371:AJ400)</f>
        <v>0</v>
      </c>
      <c r="AT370" s="39">
        <f>SUM(AK371:AK400)</f>
        <v>0</v>
      </c>
      <c r="AU370" s="39">
        <f>SUM(AL371:AL400)</f>
        <v>0</v>
      </c>
    </row>
    <row r="371" spans="1:76" x14ac:dyDescent="0.25">
      <c r="A371" s="1" t="s">
        <v>755</v>
      </c>
      <c r="B371" s="2" t="s">
        <v>84</v>
      </c>
      <c r="C371" s="2" t="s">
        <v>756</v>
      </c>
      <c r="D371" s="86" t="s">
        <v>757</v>
      </c>
      <c r="E371" s="81"/>
      <c r="F371" s="2" t="s">
        <v>258</v>
      </c>
      <c r="G371" s="34">
        <v>2</v>
      </c>
      <c r="H371" s="64">
        <v>0</v>
      </c>
      <c r="I371" s="34">
        <f>ROUND(G371*H371,2)</f>
        <v>0</v>
      </c>
      <c r="J371" s="65" t="s">
        <v>398</v>
      </c>
      <c r="K371" s="59"/>
      <c r="Z371" s="34">
        <f>ROUND(IF(AQ371="5",BJ371,0),2)</f>
        <v>0</v>
      </c>
      <c r="AB371" s="34">
        <f>ROUND(IF(AQ371="1",BH371,0),2)</f>
        <v>0</v>
      </c>
      <c r="AC371" s="34">
        <f>ROUND(IF(AQ371="1",BI371,0),2)</f>
        <v>0</v>
      </c>
      <c r="AD371" s="34">
        <f>ROUND(IF(AQ371="7",BH371,0),2)</f>
        <v>0</v>
      </c>
      <c r="AE371" s="34">
        <f>ROUND(IF(AQ371="7",BI371,0),2)</f>
        <v>0</v>
      </c>
      <c r="AF371" s="34">
        <f>ROUND(IF(AQ371="2",BH371,0),2)</f>
        <v>0</v>
      </c>
      <c r="AG371" s="34">
        <f>ROUND(IF(AQ371="2",BI371,0),2)</f>
        <v>0</v>
      </c>
      <c r="AH371" s="34">
        <f>ROUND(IF(AQ371="0",BJ371,0),2)</f>
        <v>0</v>
      </c>
      <c r="AI371" s="46" t="s">
        <v>84</v>
      </c>
      <c r="AJ371" s="34">
        <f>IF(AN371=0,I371,0)</f>
        <v>0</v>
      </c>
      <c r="AK371" s="34">
        <f>IF(AN371=12,I371,0)</f>
        <v>0</v>
      </c>
      <c r="AL371" s="34">
        <f>IF(AN371=21,I371,0)</f>
        <v>0</v>
      </c>
      <c r="AN371" s="34">
        <v>21</v>
      </c>
      <c r="AO371" s="34">
        <f>H371*0.833333333</f>
        <v>0</v>
      </c>
      <c r="AP371" s="34">
        <f>H371*(1-0.833333333)</f>
        <v>0</v>
      </c>
      <c r="AQ371" s="65" t="s">
        <v>129</v>
      </c>
      <c r="AV371" s="34">
        <f>ROUND(AW371+AX371,2)</f>
        <v>0</v>
      </c>
      <c r="AW371" s="34">
        <f>ROUND(G371*AO371,2)</f>
        <v>0</v>
      </c>
      <c r="AX371" s="34">
        <f>ROUND(G371*AP371,2)</f>
        <v>0</v>
      </c>
      <c r="AY371" s="65" t="s">
        <v>758</v>
      </c>
      <c r="AZ371" s="65" t="s">
        <v>636</v>
      </c>
      <c r="BA371" s="46" t="s">
        <v>136</v>
      </c>
      <c r="BC371" s="34">
        <f>AW371+AX371</f>
        <v>0</v>
      </c>
      <c r="BD371" s="34">
        <f>H371/(100-BE371)*100</f>
        <v>0</v>
      </c>
      <c r="BE371" s="34">
        <v>0</v>
      </c>
      <c r="BF371" s="34">
        <f>371</f>
        <v>371</v>
      </c>
      <c r="BH371" s="34">
        <f>G371*AO371</f>
        <v>0</v>
      </c>
      <c r="BI371" s="34">
        <f>G371*AP371</f>
        <v>0</v>
      </c>
      <c r="BJ371" s="34">
        <f>G371*H371</f>
        <v>0</v>
      </c>
      <c r="BK371" s="34"/>
      <c r="BL371" s="34">
        <v>64</v>
      </c>
      <c r="BW371" s="34">
        <v>21</v>
      </c>
      <c r="BX371" s="3" t="s">
        <v>757</v>
      </c>
    </row>
    <row r="372" spans="1:76" ht="13.5" customHeight="1" x14ac:dyDescent="0.25">
      <c r="A372" s="66"/>
      <c r="C372" s="69" t="s">
        <v>204</v>
      </c>
      <c r="D372" s="169" t="s">
        <v>759</v>
      </c>
      <c r="E372" s="170"/>
      <c r="F372" s="170"/>
      <c r="G372" s="170"/>
      <c r="H372" s="171"/>
      <c r="I372" s="170"/>
      <c r="J372" s="170"/>
      <c r="K372" s="172"/>
    </row>
    <row r="373" spans="1:76" x14ac:dyDescent="0.25">
      <c r="A373" s="66"/>
      <c r="D373" s="67" t="s">
        <v>140</v>
      </c>
      <c r="E373" s="67" t="s">
        <v>4</v>
      </c>
      <c r="G373" s="68">
        <v>2</v>
      </c>
      <c r="K373" s="59"/>
    </row>
    <row r="374" spans="1:76" x14ac:dyDescent="0.25">
      <c r="A374" s="1" t="s">
        <v>760</v>
      </c>
      <c r="B374" s="2" t="s">
        <v>84</v>
      </c>
      <c r="C374" s="2" t="s">
        <v>761</v>
      </c>
      <c r="D374" s="86" t="s">
        <v>762</v>
      </c>
      <c r="E374" s="81"/>
      <c r="F374" s="2" t="s">
        <v>258</v>
      </c>
      <c r="G374" s="34">
        <v>1</v>
      </c>
      <c r="H374" s="64">
        <v>0</v>
      </c>
      <c r="I374" s="34">
        <f>ROUND(G374*H374,2)</f>
        <v>0</v>
      </c>
      <c r="J374" s="65" t="s">
        <v>398</v>
      </c>
      <c r="K374" s="59"/>
      <c r="Z374" s="34">
        <f>ROUND(IF(AQ374="5",BJ374,0),2)</f>
        <v>0</v>
      </c>
      <c r="AB374" s="34">
        <f>ROUND(IF(AQ374="1",BH374,0),2)</f>
        <v>0</v>
      </c>
      <c r="AC374" s="34">
        <f>ROUND(IF(AQ374="1",BI374,0),2)</f>
        <v>0</v>
      </c>
      <c r="AD374" s="34">
        <f>ROUND(IF(AQ374="7",BH374,0),2)</f>
        <v>0</v>
      </c>
      <c r="AE374" s="34">
        <f>ROUND(IF(AQ374="7",BI374,0),2)</f>
        <v>0</v>
      </c>
      <c r="AF374" s="34">
        <f>ROUND(IF(AQ374="2",BH374,0),2)</f>
        <v>0</v>
      </c>
      <c r="AG374" s="34">
        <f>ROUND(IF(AQ374="2",BI374,0),2)</f>
        <v>0</v>
      </c>
      <c r="AH374" s="34">
        <f>ROUND(IF(AQ374="0",BJ374,0),2)</f>
        <v>0</v>
      </c>
      <c r="AI374" s="46" t="s">
        <v>84</v>
      </c>
      <c r="AJ374" s="34">
        <f>IF(AN374=0,I374,0)</f>
        <v>0</v>
      </c>
      <c r="AK374" s="34">
        <f>IF(AN374=12,I374,0)</f>
        <v>0</v>
      </c>
      <c r="AL374" s="34">
        <f>IF(AN374=21,I374,0)</f>
        <v>0</v>
      </c>
      <c r="AN374" s="34">
        <v>21</v>
      </c>
      <c r="AO374" s="34">
        <f>H374*0.833333333</f>
        <v>0</v>
      </c>
      <c r="AP374" s="34">
        <f>H374*(1-0.833333333)</f>
        <v>0</v>
      </c>
      <c r="AQ374" s="65" t="s">
        <v>129</v>
      </c>
      <c r="AV374" s="34">
        <f>ROUND(AW374+AX374,2)</f>
        <v>0</v>
      </c>
      <c r="AW374" s="34">
        <f>ROUND(G374*AO374,2)</f>
        <v>0</v>
      </c>
      <c r="AX374" s="34">
        <f>ROUND(G374*AP374,2)</f>
        <v>0</v>
      </c>
      <c r="AY374" s="65" t="s">
        <v>758</v>
      </c>
      <c r="AZ374" s="65" t="s">
        <v>636</v>
      </c>
      <c r="BA374" s="46" t="s">
        <v>136</v>
      </c>
      <c r="BC374" s="34">
        <f>AW374+AX374</f>
        <v>0</v>
      </c>
      <c r="BD374" s="34">
        <f>H374/(100-BE374)*100</f>
        <v>0</v>
      </c>
      <c r="BE374" s="34">
        <v>0</v>
      </c>
      <c r="BF374" s="34">
        <f>374</f>
        <v>374</v>
      </c>
      <c r="BH374" s="34">
        <f>G374*AO374</f>
        <v>0</v>
      </c>
      <c r="BI374" s="34">
        <f>G374*AP374</f>
        <v>0</v>
      </c>
      <c r="BJ374" s="34">
        <f>G374*H374</f>
        <v>0</v>
      </c>
      <c r="BK374" s="34"/>
      <c r="BL374" s="34">
        <v>64</v>
      </c>
      <c r="BW374" s="34">
        <v>21</v>
      </c>
      <c r="BX374" s="3" t="s">
        <v>762</v>
      </c>
    </row>
    <row r="375" spans="1:76" ht="13.5" customHeight="1" x14ac:dyDescent="0.25">
      <c r="A375" s="66"/>
      <c r="C375" s="69" t="s">
        <v>204</v>
      </c>
      <c r="D375" s="169" t="s">
        <v>759</v>
      </c>
      <c r="E375" s="170"/>
      <c r="F375" s="170"/>
      <c r="G375" s="170"/>
      <c r="H375" s="171"/>
      <c r="I375" s="170"/>
      <c r="J375" s="170"/>
      <c r="K375" s="172"/>
    </row>
    <row r="376" spans="1:76" x14ac:dyDescent="0.25">
      <c r="A376" s="66"/>
      <c r="D376" s="67" t="s">
        <v>129</v>
      </c>
      <c r="E376" s="67" t="s">
        <v>4</v>
      </c>
      <c r="G376" s="68">
        <v>1</v>
      </c>
      <c r="K376" s="59"/>
    </row>
    <row r="377" spans="1:76" x14ac:dyDescent="0.25">
      <c r="A377" s="1" t="s">
        <v>763</v>
      </c>
      <c r="B377" s="2" t="s">
        <v>84</v>
      </c>
      <c r="C377" s="2" t="s">
        <v>764</v>
      </c>
      <c r="D377" s="86" t="s">
        <v>765</v>
      </c>
      <c r="E377" s="81"/>
      <c r="F377" s="2" t="s">
        <v>258</v>
      </c>
      <c r="G377" s="34">
        <v>5</v>
      </c>
      <c r="H377" s="64">
        <v>0</v>
      </c>
      <c r="I377" s="34">
        <f>ROUND(G377*H377,2)</f>
        <v>0</v>
      </c>
      <c r="J377" s="65" t="s">
        <v>133</v>
      </c>
      <c r="K377" s="59"/>
      <c r="Z377" s="34">
        <f>ROUND(IF(AQ377="5",BJ377,0),2)</f>
        <v>0</v>
      </c>
      <c r="AB377" s="34">
        <f>ROUND(IF(AQ377="1",BH377,0),2)</f>
        <v>0</v>
      </c>
      <c r="AC377" s="34">
        <f>ROUND(IF(AQ377="1",BI377,0),2)</f>
        <v>0</v>
      </c>
      <c r="AD377" s="34">
        <f>ROUND(IF(AQ377="7",BH377,0),2)</f>
        <v>0</v>
      </c>
      <c r="AE377" s="34">
        <f>ROUND(IF(AQ377="7",BI377,0),2)</f>
        <v>0</v>
      </c>
      <c r="AF377" s="34">
        <f>ROUND(IF(AQ377="2",BH377,0),2)</f>
        <v>0</v>
      </c>
      <c r="AG377" s="34">
        <f>ROUND(IF(AQ377="2",BI377,0),2)</f>
        <v>0</v>
      </c>
      <c r="AH377" s="34">
        <f>ROUND(IF(AQ377="0",BJ377,0),2)</f>
        <v>0</v>
      </c>
      <c r="AI377" s="46" t="s">
        <v>84</v>
      </c>
      <c r="AJ377" s="34">
        <f>IF(AN377=0,I377,0)</f>
        <v>0</v>
      </c>
      <c r="AK377" s="34">
        <f>IF(AN377=12,I377,0)</f>
        <v>0</v>
      </c>
      <c r="AL377" s="34">
        <f>IF(AN377=21,I377,0)</f>
        <v>0</v>
      </c>
      <c r="AN377" s="34">
        <v>21</v>
      </c>
      <c r="AO377" s="34">
        <f>H377*0.778675044</f>
        <v>0</v>
      </c>
      <c r="AP377" s="34">
        <f>H377*(1-0.778675044)</f>
        <v>0</v>
      </c>
      <c r="AQ377" s="65" t="s">
        <v>129</v>
      </c>
      <c r="AV377" s="34">
        <f>ROUND(AW377+AX377,2)</f>
        <v>0</v>
      </c>
      <c r="AW377" s="34">
        <f>ROUND(G377*AO377,2)</f>
        <v>0</v>
      </c>
      <c r="AX377" s="34">
        <f>ROUND(G377*AP377,2)</f>
        <v>0</v>
      </c>
      <c r="AY377" s="65" t="s">
        <v>758</v>
      </c>
      <c r="AZ377" s="65" t="s">
        <v>636</v>
      </c>
      <c r="BA377" s="46" t="s">
        <v>136</v>
      </c>
      <c r="BC377" s="34">
        <f>AW377+AX377</f>
        <v>0</v>
      </c>
      <c r="BD377" s="34">
        <f>H377/(100-BE377)*100</f>
        <v>0</v>
      </c>
      <c r="BE377" s="34">
        <v>0</v>
      </c>
      <c r="BF377" s="34">
        <f>377</f>
        <v>377</v>
      </c>
      <c r="BH377" s="34">
        <f>G377*AO377</f>
        <v>0</v>
      </c>
      <c r="BI377" s="34">
        <f>G377*AP377</f>
        <v>0</v>
      </c>
      <c r="BJ377" s="34">
        <f>G377*H377</f>
        <v>0</v>
      </c>
      <c r="BK377" s="34"/>
      <c r="BL377" s="34">
        <v>64</v>
      </c>
      <c r="BW377" s="34">
        <v>21</v>
      </c>
      <c r="BX377" s="3" t="s">
        <v>765</v>
      </c>
    </row>
    <row r="378" spans="1:76" ht="13.5" customHeight="1" x14ac:dyDescent="0.25">
      <c r="A378" s="66"/>
      <c r="C378" s="69" t="s">
        <v>204</v>
      </c>
      <c r="D378" s="169" t="s">
        <v>766</v>
      </c>
      <c r="E378" s="170"/>
      <c r="F378" s="170"/>
      <c r="G378" s="170"/>
      <c r="H378" s="171"/>
      <c r="I378" s="170"/>
      <c r="J378" s="170"/>
      <c r="K378" s="172"/>
    </row>
    <row r="379" spans="1:76" x14ac:dyDescent="0.25">
      <c r="A379" s="66"/>
      <c r="D379" s="67" t="s">
        <v>140</v>
      </c>
      <c r="E379" s="67" t="s">
        <v>767</v>
      </c>
      <c r="G379" s="68">
        <v>2</v>
      </c>
      <c r="K379" s="59"/>
    </row>
    <row r="380" spans="1:76" x14ac:dyDescent="0.25">
      <c r="A380" s="66"/>
      <c r="D380" s="67" t="s">
        <v>148</v>
      </c>
      <c r="E380" s="67" t="s">
        <v>768</v>
      </c>
      <c r="G380" s="68">
        <v>3</v>
      </c>
      <c r="K380" s="59"/>
    </row>
    <row r="381" spans="1:76" x14ac:dyDescent="0.25">
      <c r="A381" s="1" t="s">
        <v>769</v>
      </c>
      <c r="B381" s="2" t="s">
        <v>84</v>
      </c>
      <c r="C381" s="2" t="s">
        <v>770</v>
      </c>
      <c r="D381" s="86" t="s">
        <v>771</v>
      </c>
      <c r="E381" s="81"/>
      <c r="F381" s="2" t="s">
        <v>258</v>
      </c>
      <c r="G381" s="34">
        <v>13</v>
      </c>
      <c r="H381" s="64">
        <v>0</v>
      </c>
      <c r="I381" s="34">
        <f>ROUND(G381*H381,2)</f>
        <v>0</v>
      </c>
      <c r="J381" s="65" t="s">
        <v>133</v>
      </c>
      <c r="K381" s="59"/>
      <c r="Z381" s="34">
        <f>ROUND(IF(AQ381="5",BJ381,0),2)</f>
        <v>0</v>
      </c>
      <c r="AB381" s="34">
        <f>ROUND(IF(AQ381="1",BH381,0),2)</f>
        <v>0</v>
      </c>
      <c r="AC381" s="34">
        <f>ROUND(IF(AQ381="1",BI381,0),2)</f>
        <v>0</v>
      </c>
      <c r="AD381" s="34">
        <f>ROUND(IF(AQ381="7",BH381,0),2)</f>
        <v>0</v>
      </c>
      <c r="AE381" s="34">
        <f>ROUND(IF(AQ381="7",BI381,0),2)</f>
        <v>0</v>
      </c>
      <c r="AF381" s="34">
        <f>ROUND(IF(AQ381="2",BH381,0),2)</f>
        <v>0</v>
      </c>
      <c r="AG381" s="34">
        <f>ROUND(IF(AQ381="2",BI381,0),2)</f>
        <v>0</v>
      </c>
      <c r="AH381" s="34">
        <f>ROUND(IF(AQ381="0",BJ381,0),2)</f>
        <v>0</v>
      </c>
      <c r="AI381" s="46" t="s">
        <v>84</v>
      </c>
      <c r="AJ381" s="34">
        <f>IF(AN381=0,I381,0)</f>
        <v>0</v>
      </c>
      <c r="AK381" s="34">
        <f>IF(AN381=12,I381,0)</f>
        <v>0</v>
      </c>
      <c r="AL381" s="34">
        <f>IF(AN381=21,I381,0)</f>
        <v>0</v>
      </c>
      <c r="AN381" s="34">
        <v>21</v>
      </c>
      <c r="AO381" s="34">
        <f>H381*0.776381236</f>
        <v>0</v>
      </c>
      <c r="AP381" s="34">
        <f>H381*(1-0.776381236)</f>
        <v>0</v>
      </c>
      <c r="AQ381" s="65" t="s">
        <v>129</v>
      </c>
      <c r="AV381" s="34">
        <f>ROUND(AW381+AX381,2)</f>
        <v>0</v>
      </c>
      <c r="AW381" s="34">
        <f>ROUND(G381*AO381,2)</f>
        <v>0</v>
      </c>
      <c r="AX381" s="34">
        <f>ROUND(G381*AP381,2)</f>
        <v>0</v>
      </c>
      <c r="AY381" s="65" t="s">
        <v>758</v>
      </c>
      <c r="AZ381" s="65" t="s">
        <v>636</v>
      </c>
      <c r="BA381" s="46" t="s">
        <v>136</v>
      </c>
      <c r="BC381" s="34">
        <f>AW381+AX381</f>
        <v>0</v>
      </c>
      <c r="BD381" s="34">
        <f>H381/(100-BE381)*100</f>
        <v>0</v>
      </c>
      <c r="BE381" s="34">
        <v>0</v>
      </c>
      <c r="BF381" s="34">
        <f>381</f>
        <v>381</v>
      </c>
      <c r="BH381" s="34">
        <f>G381*AO381</f>
        <v>0</v>
      </c>
      <c r="BI381" s="34">
        <f>G381*AP381</f>
        <v>0</v>
      </c>
      <c r="BJ381" s="34">
        <f>G381*H381</f>
        <v>0</v>
      </c>
      <c r="BK381" s="34"/>
      <c r="BL381" s="34">
        <v>64</v>
      </c>
      <c r="BW381" s="34">
        <v>21</v>
      </c>
      <c r="BX381" s="3" t="s">
        <v>771</v>
      </c>
    </row>
    <row r="382" spans="1:76" ht="13.5" customHeight="1" x14ac:dyDescent="0.25">
      <c r="A382" s="66"/>
      <c r="C382" s="69" t="s">
        <v>204</v>
      </c>
      <c r="D382" s="169" t="s">
        <v>766</v>
      </c>
      <c r="E382" s="170"/>
      <c r="F382" s="170"/>
      <c r="G382" s="170"/>
      <c r="H382" s="171"/>
      <c r="I382" s="170"/>
      <c r="J382" s="170"/>
      <c r="K382" s="172"/>
    </row>
    <row r="383" spans="1:76" x14ac:dyDescent="0.25">
      <c r="A383" s="66"/>
      <c r="D383" s="67" t="s">
        <v>129</v>
      </c>
      <c r="E383" s="67" t="s">
        <v>772</v>
      </c>
      <c r="G383" s="68">
        <v>1</v>
      </c>
      <c r="K383" s="59"/>
    </row>
    <row r="384" spans="1:76" x14ac:dyDescent="0.25">
      <c r="A384" s="66"/>
      <c r="D384" s="67" t="s">
        <v>140</v>
      </c>
      <c r="E384" s="67" t="s">
        <v>773</v>
      </c>
      <c r="G384" s="68">
        <v>2</v>
      </c>
      <c r="K384" s="59"/>
    </row>
    <row r="385" spans="1:76" x14ac:dyDescent="0.25">
      <c r="A385" s="66"/>
      <c r="D385" s="67" t="s">
        <v>129</v>
      </c>
      <c r="E385" s="67" t="s">
        <v>774</v>
      </c>
      <c r="G385" s="68">
        <v>1</v>
      </c>
      <c r="K385" s="59"/>
    </row>
    <row r="386" spans="1:76" x14ac:dyDescent="0.25">
      <c r="A386" s="66"/>
      <c r="D386" s="67" t="s">
        <v>140</v>
      </c>
      <c r="E386" s="67" t="s">
        <v>775</v>
      </c>
      <c r="G386" s="68">
        <v>2</v>
      </c>
      <c r="K386" s="59"/>
    </row>
    <row r="387" spans="1:76" x14ac:dyDescent="0.25">
      <c r="A387" s="66"/>
      <c r="D387" s="67" t="s">
        <v>171</v>
      </c>
      <c r="E387" s="67" t="s">
        <v>776</v>
      </c>
      <c r="G387" s="68">
        <v>6</v>
      </c>
      <c r="K387" s="59"/>
    </row>
    <row r="388" spans="1:76" x14ac:dyDescent="0.25">
      <c r="A388" s="66"/>
      <c r="D388" s="67" t="s">
        <v>129</v>
      </c>
      <c r="E388" s="67" t="s">
        <v>777</v>
      </c>
      <c r="G388" s="68">
        <v>1</v>
      </c>
      <c r="K388" s="59"/>
    </row>
    <row r="389" spans="1:76" x14ac:dyDescent="0.25">
      <c r="A389" s="1" t="s">
        <v>778</v>
      </c>
      <c r="B389" s="2" t="s">
        <v>84</v>
      </c>
      <c r="C389" s="2" t="s">
        <v>779</v>
      </c>
      <c r="D389" s="86" t="s">
        <v>780</v>
      </c>
      <c r="E389" s="81"/>
      <c r="F389" s="2" t="s">
        <v>258</v>
      </c>
      <c r="G389" s="34">
        <v>2</v>
      </c>
      <c r="H389" s="64">
        <v>0</v>
      </c>
      <c r="I389" s="34">
        <f>ROUND(G389*H389,2)</f>
        <v>0</v>
      </c>
      <c r="J389" s="65" t="s">
        <v>133</v>
      </c>
      <c r="K389" s="59"/>
      <c r="Z389" s="34">
        <f>ROUND(IF(AQ389="5",BJ389,0),2)</f>
        <v>0</v>
      </c>
      <c r="AB389" s="34">
        <f>ROUND(IF(AQ389="1",BH389,0),2)</f>
        <v>0</v>
      </c>
      <c r="AC389" s="34">
        <f>ROUND(IF(AQ389="1",BI389,0),2)</f>
        <v>0</v>
      </c>
      <c r="AD389" s="34">
        <f>ROUND(IF(AQ389="7",BH389,0),2)</f>
        <v>0</v>
      </c>
      <c r="AE389" s="34">
        <f>ROUND(IF(AQ389="7",BI389,0),2)</f>
        <v>0</v>
      </c>
      <c r="AF389" s="34">
        <f>ROUND(IF(AQ389="2",BH389,0),2)</f>
        <v>0</v>
      </c>
      <c r="AG389" s="34">
        <f>ROUND(IF(AQ389="2",BI389,0),2)</f>
        <v>0</v>
      </c>
      <c r="AH389" s="34">
        <f>ROUND(IF(AQ389="0",BJ389,0),2)</f>
        <v>0</v>
      </c>
      <c r="AI389" s="46" t="s">
        <v>84</v>
      </c>
      <c r="AJ389" s="34">
        <f>IF(AN389=0,I389,0)</f>
        <v>0</v>
      </c>
      <c r="AK389" s="34">
        <f>IF(AN389=12,I389,0)</f>
        <v>0</v>
      </c>
      <c r="AL389" s="34">
        <f>IF(AN389=21,I389,0)</f>
        <v>0</v>
      </c>
      <c r="AN389" s="34">
        <v>21</v>
      </c>
      <c r="AO389" s="34">
        <f>H389*0.778569719</f>
        <v>0</v>
      </c>
      <c r="AP389" s="34">
        <f>H389*(1-0.778569719)</f>
        <v>0</v>
      </c>
      <c r="AQ389" s="65" t="s">
        <v>129</v>
      </c>
      <c r="AV389" s="34">
        <f>ROUND(AW389+AX389,2)</f>
        <v>0</v>
      </c>
      <c r="AW389" s="34">
        <f>ROUND(G389*AO389,2)</f>
        <v>0</v>
      </c>
      <c r="AX389" s="34">
        <f>ROUND(G389*AP389,2)</f>
        <v>0</v>
      </c>
      <c r="AY389" s="65" t="s">
        <v>758</v>
      </c>
      <c r="AZ389" s="65" t="s">
        <v>636</v>
      </c>
      <c r="BA389" s="46" t="s">
        <v>136</v>
      </c>
      <c r="BC389" s="34">
        <f>AW389+AX389</f>
        <v>0</v>
      </c>
      <c r="BD389" s="34">
        <f>H389/(100-BE389)*100</f>
        <v>0</v>
      </c>
      <c r="BE389" s="34">
        <v>0</v>
      </c>
      <c r="BF389" s="34">
        <f>389</f>
        <v>389</v>
      </c>
      <c r="BH389" s="34">
        <f>G389*AO389</f>
        <v>0</v>
      </c>
      <c r="BI389" s="34">
        <f>G389*AP389</f>
        <v>0</v>
      </c>
      <c r="BJ389" s="34">
        <f>G389*H389</f>
        <v>0</v>
      </c>
      <c r="BK389" s="34"/>
      <c r="BL389" s="34">
        <v>64</v>
      </c>
      <c r="BW389" s="34">
        <v>21</v>
      </c>
      <c r="BX389" s="3" t="s">
        <v>780</v>
      </c>
    </row>
    <row r="390" spans="1:76" ht="13.5" customHeight="1" x14ac:dyDescent="0.25">
      <c r="A390" s="66"/>
      <c r="C390" s="69" t="s">
        <v>204</v>
      </c>
      <c r="D390" s="169" t="s">
        <v>766</v>
      </c>
      <c r="E390" s="170"/>
      <c r="F390" s="170"/>
      <c r="G390" s="170"/>
      <c r="H390" s="171"/>
      <c r="I390" s="170"/>
      <c r="J390" s="170"/>
      <c r="K390" s="172"/>
    </row>
    <row r="391" spans="1:76" x14ac:dyDescent="0.25">
      <c r="A391" s="66"/>
      <c r="D391" s="67" t="s">
        <v>129</v>
      </c>
      <c r="E391" s="67" t="s">
        <v>781</v>
      </c>
      <c r="G391" s="68">
        <v>1</v>
      </c>
      <c r="K391" s="59"/>
    </row>
    <row r="392" spans="1:76" x14ac:dyDescent="0.25">
      <c r="A392" s="66"/>
      <c r="D392" s="67" t="s">
        <v>129</v>
      </c>
      <c r="E392" s="67" t="s">
        <v>782</v>
      </c>
      <c r="G392" s="68">
        <v>1</v>
      </c>
      <c r="K392" s="59"/>
    </row>
    <row r="393" spans="1:76" ht="25.5" x14ac:dyDescent="0.25">
      <c r="A393" s="1" t="s">
        <v>783</v>
      </c>
      <c r="B393" s="2" t="s">
        <v>84</v>
      </c>
      <c r="C393" s="2" t="s">
        <v>784</v>
      </c>
      <c r="D393" s="86" t="s">
        <v>785</v>
      </c>
      <c r="E393" s="81"/>
      <c r="F393" s="2" t="s">
        <v>258</v>
      </c>
      <c r="G393" s="34">
        <v>7</v>
      </c>
      <c r="H393" s="64">
        <v>0</v>
      </c>
      <c r="I393" s="34">
        <f>ROUND(G393*H393,2)</f>
        <v>0</v>
      </c>
      <c r="J393" s="65" t="s">
        <v>133</v>
      </c>
      <c r="K393" s="59"/>
      <c r="Z393" s="34">
        <f>ROUND(IF(AQ393="5",BJ393,0),2)</f>
        <v>0</v>
      </c>
      <c r="AB393" s="34">
        <f>ROUND(IF(AQ393="1",BH393,0),2)</f>
        <v>0</v>
      </c>
      <c r="AC393" s="34">
        <f>ROUND(IF(AQ393="1",BI393,0),2)</f>
        <v>0</v>
      </c>
      <c r="AD393" s="34">
        <f>ROUND(IF(AQ393="7",BH393,0),2)</f>
        <v>0</v>
      </c>
      <c r="AE393" s="34">
        <f>ROUND(IF(AQ393="7",BI393,0),2)</f>
        <v>0</v>
      </c>
      <c r="AF393" s="34">
        <f>ROUND(IF(AQ393="2",BH393,0),2)</f>
        <v>0</v>
      </c>
      <c r="AG393" s="34">
        <f>ROUND(IF(AQ393="2",BI393,0),2)</f>
        <v>0</v>
      </c>
      <c r="AH393" s="34">
        <f>ROUND(IF(AQ393="0",BJ393,0),2)</f>
        <v>0</v>
      </c>
      <c r="AI393" s="46" t="s">
        <v>84</v>
      </c>
      <c r="AJ393" s="34">
        <f>IF(AN393=0,I393,0)</f>
        <v>0</v>
      </c>
      <c r="AK393" s="34">
        <f>IF(AN393=12,I393,0)</f>
        <v>0</v>
      </c>
      <c r="AL393" s="34">
        <f>IF(AN393=21,I393,0)</f>
        <v>0</v>
      </c>
      <c r="AN393" s="34">
        <v>21</v>
      </c>
      <c r="AO393" s="34">
        <f>H393*0.738559498</f>
        <v>0</v>
      </c>
      <c r="AP393" s="34">
        <f>H393*(1-0.738559498)</f>
        <v>0</v>
      </c>
      <c r="AQ393" s="65" t="s">
        <v>129</v>
      </c>
      <c r="AV393" s="34">
        <f>ROUND(AW393+AX393,2)</f>
        <v>0</v>
      </c>
      <c r="AW393" s="34">
        <f>ROUND(G393*AO393,2)</f>
        <v>0</v>
      </c>
      <c r="AX393" s="34">
        <f>ROUND(G393*AP393,2)</f>
        <v>0</v>
      </c>
      <c r="AY393" s="65" t="s">
        <v>758</v>
      </c>
      <c r="AZ393" s="65" t="s">
        <v>636</v>
      </c>
      <c r="BA393" s="46" t="s">
        <v>136</v>
      </c>
      <c r="BC393" s="34">
        <f>AW393+AX393</f>
        <v>0</v>
      </c>
      <c r="BD393" s="34">
        <f>H393/(100-BE393)*100</f>
        <v>0</v>
      </c>
      <c r="BE393" s="34">
        <v>0</v>
      </c>
      <c r="BF393" s="34">
        <f>393</f>
        <v>393</v>
      </c>
      <c r="BH393" s="34">
        <f>G393*AO393</f>
        <v>0</v>
      </c>
      <c r="BI393" s="34">
        <f>G393*AP393</f>
        <v>0</v>
      </c>
      <c r="BJ393" s="34">
        <f>G393*H393</f>
        <v>0</v>
      </c>
      <c r="BK393" s="34"/>
      <c r="BL393" s="34">
        <v>64</v>
      </c>
      <c r="BW393" s="34">
        <v>21</v>
      </c>
      <c r="BX393" s="3" t="s">
        <v>785</v>
      </c>
    </row>
    <row r="394" spans="1:76" ht="13.5" customHeight="1" x14ac:dyDescent="0.25">
      <c r="A394" s="66"/>
      <c r="C394" s="69" t="s">
        <v>204</v>
      </c>
      <c r="D394" s="169" t="s">
        <v>786</v>
      </c>
      <c r="E394" s="170"/>
      <c r="F394" s="170"/>
      <c r="G394" s="170"/>
      <c r="H394" s="171"/>
      <c r="I394" s="170"/>
      <c r="J394" s="170"/>
      <c r="K394" s="172"/>
    </row>
    <row r="395" spans="1:76" x14ac:dyDescent="0.25">
      <c r="A395" s="66"/>
      <c r="D395" s="67" t="s">
        <v>129</v>
      </c>
      <c r="E395" s="67" t="s">
        <v>787</v>
      </c>
      <c r="G395" s="68">
        <v>1</v>
      </c>
      <c r="K395" s="59"/>
    </row>
    <row r="396" spans="1:76" x14ac:dyDescent="0.25">
      <c r="A396" s="66"/>
      <c r="D396" s="67" t="s">
        <v>140</v>
      </c>
      <c r="E396" s="67" t="s">
        <v>788</v>
      </c>
      <c r="G396" s="68">
        <v>2</v>
      </c>
      <c r="K396" s="59"/>
    </row>
    <row r="397" spans="1:76" x14ac:dyDescent="0.25">
      <c r="A397" s="66"/>
      <c r="D397" s="67" t="s">
        <v>129</v>
      </c>
      <c r="E397" s="67" t="s">
        <v>789</v>
      </c>
      <c r="G397" s="68">
        <v>1</v>
      </c>
      <c r="K397" s="59"/>
    </row>
    <row r="398" spans="1:76" x14ac:dyDescent="0.25">
      <c r="A398" s="66"/>
      <c r="D398" s="67" t="s">
        <v>129</v>
      </c>
      <c r="E398" s="67" t="s">
        <v>790</v>
      </c>
      <c r="G398" s="68">
        <v>1</v>
      </c>
      <c r="K398" s="59"/>
    </row>
    <row r="399" spans="1:76" x14ac:dyDescent="0.25">
      <c r="A399" s="66"/>
      <c r="D399" s="67" t="s">
        <v>140</v>
      </c>
      <c r="E399" s="67" t="s">
        <v>791</v>
      </c>
      <c r="G399" s="68">
        <v>2</v>
      </c>
      <c r="K399" s="59"/>
    </row>
    <row r="400" spans="1:76" x14ac:dyDescent="0.25">
      <c r="A400" s="1" t="s">
        <v>792</v>
      </c>
      <c r="B400" s="2" t="s">
        <v>84</v>
      </c>
      <c r="C400" s="2" t="s">
        <v>793</v>
      </c>
      <c r="D400" s="86" t="s">
        <v>794</v>
      </c>
      <c r="E400" s="81"/>
      <c r="F400" s="2" t="s">
        <v>258</v>
      </c>
      <c r="G400" s="34">
        <v>11</v>
      </c>
      <c r="H400" s="64">
        <v>0</v>
      </c>
      <c r="I400" s="34">
        <f>ROUND(G400*H400,2)</f>
        <v>0</v>
      </c>
      <c r="J400" s="65" t="s">
        <v>398</v>
      </c>
      <c r="K400" s="59"/>
      <c r="Z400" s="34">
        <f>ROUND(IF(AQ400="5",BJ400,0),2)</f>
        <v>0</v>
      </c>
      <c r="AB400" s="34">
        <f>ROUND(IF(AQ400="1",BH400,0),2)</f>
        <v>0</v>
      </c>
      <c r="AC400" s="34">
        <f>ROUND(IF(AQ400="1",BI400,0),2)</f>
        <v>0</v>
      </c>
      <c r="AD400" s="34">
        <f>ROUND(IF(AQ400="7",BH400,0),2)</f>
        <v>0</v>
      </c>
      <c r="AE400" s="34">
        <f>ROUND(IF(AQ400="7",BI400,0),2)</f>
        <v>0</v>
      </c>
      <c r="AF400" s="34">
        <f>ROUND(IF(AQ400="2",BH400,0),2)</f>
        <v>0</v>
      </c>
      <c r="AG400" s="34">
        <f>ROUND(IF(AQ400="2",BI400,0),2)</f>
        <v>0</v>
      </c>
      <c r="AH400" s="34">
        <f>ROUND(IF(AQ400="0",BJ400,0),2)</f>
        <v>0</v>
      </c>
      <c r="AI400" s="46" t="s">
        <v>84</v>
      </c>
      <c r="AJ400" s="34">
        <f>IF(AN400=0,I400,0)</f>
        <v>0</v>
      </c>
      <c r="AK400" s="34">
        <f>IF(AN400=12,I400,0)</f>
        <v>0</v>
      </c>
      <c r="AL400" s="34">
        <f>IF(AN400=21,I400,0)</f>
        <v>0</v>
      </c>
      <c r="AN400" s="34">
        <v>21</v>
      </c>
      <c r="AO400" s="34">
        <f>H400*0.666666667</f>
        <v>0</v>
      </c>
      <c r="AP400" s="34">
        <f>H400*(1-0.666666667)</f>
        <v>0</v>
      </c>
      <c r="AQ400" s="65" t="s">
        <v>129</v>
      </c>
      <c r="AV400" s="34">
        <f>ROUND(AW400+AX400,2)</f>
        <v>0</v>
      </c>
      <c r="AW400" s="34">
        <f>ROUND(G400*AO400,2)</f>
        <v>0</v>
      </c>
      <c r="AX400" s="34">
        <f>ROUND(G400*AP400,2)</f>
        <v>0</v>
      </c>
      <c r="AY400" s="65" t="s">
        <v>758</v>
      </c>
      <c r="AZ400" s="65" t="s">
        <v>636</v>
      </c>
      <c r="BA400" s="46" t="s">
        <v>136</v>
      </c>
      <c r="BC400" s="34">
        <f>AW400+AX400</f>
        <v>0</v>
      </c>
      <c r="BD400" s="34">
        <f>H400/(100-BE400)*100</f>
        <v>0</v>
      </c>
      <c r="BE400" s="34">
        <v>0</v>
      </c>
      <c r="BF400" s="34">
        <f>400</f>
        <v>400</v>
      </c>
      <c r="BH400" s="34">
        <f>G400*AO400</f>
        <v>0</v>
      </c>
      <c r="BI400" s="34">
        <f>G400*AP400</f>
        <v>0</v>
      </c>
      <c r="BJ400" s="34">
        <f>G400*H400</f>
        <v>0</v>
      </c>
      <c r="BK400" s="34"/>
      <c r="BL400" s="34">
        <v>64</v>
      </c>
      <c r="BW400" s="34">
        <v>21</v>
      </c>
      <c r="BX400" s="3" t="s">
        <v>794</v>
      </c>
    </row>
    <row r="401" spans="1:76" x14ac:dyDescent="0.25">
      <c r="A401" s="66"/>
      <c r="D401" s="67" t="s">
        <v>795</v>
      </c>
      <c r="E401" s="67" t="s">
        <v>4</v>
      </c>
      <c r="G401" s="68">
        <v>11</v>
      </c>
      <c r="K401" s="59"/>
    </row>
    <row r="402" spans="1:76" x14ac:dyDescent="0.25">
      <c r="A402" s="60" t="s">
        <v>4</v>
      </c>
      <c r="B402" s="61" t="s">
        <v>84</v>
      </c>
      <c r="C402" s="61" t="s">
        <v>796</v>
      </c>
      <c r="D402" s="167" t="s">
        <v>797</v>
      </c>
      <c r="E402" s="168"/>
      <c r="F402" s="62" t="s">
        <v>79</v>
      </c>
      <c r="G402" s="62" t="s">
        <v>79</v>
      </c>
      <c r="H402" s="63" t="s">
        <v>79</v>
      </c>
      <c r="I402" s="39">
        <f>SUM(I403:I459)</f>
        <v>0</v>
      </c>
      <c r="J402" s="46" t="s">
        <v>4</v>
      </c>
      <c r="K402" s="59"/>
      <c r="AI402" s="46" t="s">
        <v>84</v>
      </c>
      <c r="AS402" s="39">
        <f>SUM(AJ403:AJ459)</f>
        <v>0</v>
      </c>
      <c r="AT402" s="39">
        <f>SUM(AK403:AK459)</f>
        <v>0</v>
      </c>
      <c r="AU402" s="39">
        <f>SUM(AL403:AL459)</f>
        <v>0</v>
      </c>
    </row>
    <row r="403" spans="1:76" x14ac:dyDescent="0.25">
      <c r="A403" s="1" t="s">
        <v>798</v>
      </c>
      <c r="B403" s="2" t="s">
        <v>84</v>
      </c>
      <c r="C403" s="2" t="s">
        <v>799</v>
      </c>
      <c r="D403" s="86" t="s">
        <v>800</v>
      </c>
      <c r="E403" s="81"/>
      <c r="F403" s="2" t="s">
        <v>132</v>
      </c>
      <c r="G403" s="34">
        <v>289.39999999999998</v>
      </c>
      <c r="H403" s="64">
        <v>0</v>
      </c>
      <c r="I403" s="34">
        <f>ROUND(G403*H403,2)</f>
        <v>0</v>
      </c>
      <c r="J403" s="65" t="s">
        <v>133</v>
      </c>
      <c r="K403" s="59"/>
      <c r="Z403" s="34">
        <f>ROUND(IF(AQ403="5",BJ403,0),2)</f>
        <v>0</v>
      </c>
      <c r="AB403" s="34">
        <f>ROUND(IF(AQ403="1",BH403,0),2)</f>
        <v>0</v>
      </c>
      <c r="AC403" s="34">
        <f>ROUND(IF(AQ403="1",BI403,0),2)</f>
        <v>0</v>
      </c>
      <c r="AD403" s="34">
        <f>ROUND(IF(AQ403="7",BH403,0),2)</f>
        <v>0</v>
      </c>
      <c r="AE403" s="34">
        <f>ROUND(IF(AQ403="7",BI403,0),2)</f>
        <v>0</v>
      </c>
      <c r="AF403" s="34">
        <f>ROUND(IF(AQ403="2",BH403,0),2)</f>
        <v>0</v>
      </c>
      <c r="AG403" s="34">
        <f>ROUND(IF(AQ403="2",BI403,0),2)</f>
        <v>0</v>
      </c>
      <c r="AH403" s="34">
        <f>ROUND(IF(AQ403="0",BJ403,0),2)</f>
        <v>0</v>
      </c>
      <c r="AI403" s="46" t="s">
        <v>84</v>
      </c>
      <c r="AJ403" s="34">
        <f>IF(AN403=0,I403,0)</f>
        <v>0</v>
      </c>
      <c r="AK403" s="34">
        <f>IF(AN403=12,I403,0)</f>
        <v>0</v>
      </c>
      <c r="AL403" s="34">
        <f>IF(AN403=21,I403,0)</f>
        <v>0</v>
      </c>
      <c r="AN403" s="34">
        <v>21</v>
      </c>
      <c r="AO403" s="34">
        <f>H403*0</f>
        <v>0</v>
      </c>
      <c r="AP403" s="34">
        <f>H403*(1-0)</f>
        <v>0</v>
      </c>
      <c r="AQ403" s="65" t="s">
        <v>175</v>
      </c>
      <c r="AV403" s="34">
        <f>ROUND(AW403+AX403,2)</f>
        <v>0</v>
      </c>
      <c r="AW403" s="34">
        <f>ROUND(G403*AO403,2)</f>
        <v>0</v>
      </c>
      <c r="AX403" s="34">
        <f>ROUND(G403*AP403,2)</f>
        <v>0</v>
      </c>
      <c r="AY403" s="65" t="s">
        <v>801</v>
      </c>
      <c r="AZ403" s="65" t="s">
        <v>802</v>
      </c>
      <c r="BA403" s="46" t="s">
        <v>136</v>
      </c>
      <c r="BC403" s="34">
        <f>AW403+AX403</f>
        <v>0</v>
      </c>
      <c r="BD403" s="34">
        <f>H403/(100-BE403)*100</f>
        <v>0</v>
      </c>
      <c r="BE403" s="34">
        <v>0</v>
      </c>
      <c r="BF403" s="34">
        <f>403</f>
        <v>403</v>
      </c>
      <c r="BH403" s="34">
        <f>G403*AO403</f>
        <v>0</v>
      </c>
      <c r="BI403" s="34">
        <f>G403*AP403</f>
        <v>0</v>
      </c>
      <c r="BJ403" s="34">
        <f>G403*H403</f>
        <v>0</v>
      </c>
      <c r="BK403" s="34"/>
      <c r="BL403" s="34">
        <v>711</v>
      </c>
      <c r="BW403" s="34">
        <v>21</v>
      </c>
      <c r="BX403" s="3" t="s">
        <v>800</v>
      </c>
    </row>
    <row r="404" spans="1:76" x14ac:dyDescent="0.25">
      <c r="A404" s="66"/>
      <c r="D404" s="67" t="s">
        <v>803</v>
      </c>
      <c r="E404" s="67" t="s">
        <v>804</v>
      </c>
      <c r="G404" s="68">
        <v>62.4</v>
      </c>
      <c r="K404" s="59"/>
    </row>
    <row r="405" spans="1:76" x14ac:dyDescent="0.25">
      <c r="A405" s="66"/>
      <c r="D405" s="67" t="s">
        <v>805</v>
      </c>
      <c r="E405" s="67" t="s">
        <v>806</v>
      </c>
      <c r="G405" s="68">
        <v>227</v>
      </c>
      <c r="K405" s="59"/>
    </row>
    <row r="406" spans="1:76" x14ac:dyDescent="0.25">
      <c r="A406" s="1" t="s">
        <v>807</v>
      </c>
      <c r="B406" s="2" t="s">
        <v>84</v>
      </c>
      <c r="C406" s="2" t="s">
        <v>808</v>
      </c>
      <c r="D406" s="86" t="s">
        <v>809</v>
      </c>
      <c r="E406" s="81"/>
      <c r="F406" s="2" t="s">
        <v>132</v>
      </c>
      <c r="G406" s="34">
        <v>304.14999999999998</v>
      </c>
      <c r="H406" s="64">
        <v>0</v>
      </c>
      <c r="I406" s="34">
        <f>ROUND(G406*H406,2)</f>
        <v>0</v>
      </c>
      <c r="J406" s="65" t="s">
        <v>133</v>
      </c>
      <c r="K406" s="59"/>
      <c r="Z406" s="34">
        <f>ROUND(IF(AQ406="5",BJ406,0),2)</f>
        <v>0</v>
      </c>
      <c r="AB406" s="34">
        <f>ROUND(IF(AQ406="1",BH406,0),2)</f>
        <v>0</v>
      </c>
      <c r="AC406" s="34">
        <f>ROUND(IF(AQ406="1",BI406,0),2)</f>
        <v>0</v>
      </c>
      <c r="AD406" s="34">
        <f>ROUND(IF(AQ406="7",BH406,0),2)</f>
        <v>0</v>
      </c>
      <c r="AE406" s="34">
        <f>ROUND(IF(AQ406="7",BI406,0),2)</f>
        <v>0</v>
      </c>
      <c r="AF406" s="34">
        <f>ROUND(IF(AQ406="2",BH406,0),2)</f>
        <v>0</v>
      </c>
      <c r="AG406" s="34">
        <f>ROUND(IF(AQ406="2",BI406,0),2)</f>
        <v>0</v>
      </c>
      <c r="AH406" s="34">
        <f>ROUND(IF(AQ406="0",BJ406,0),2)</f>
        <v>0</v>
      </c>
      <c r="AI406" s="46" t="s">
        <v>84</v>
      </c>
      <c r="AJ406" s="34">
        <f>IF(AN406=0,I406,0)</f>
        <v>0</v>
      </c>
      <c r="AK406" s="34">
        <f>IF(AN406=12,I406,0)</f>
        <v>0</v>
      </c>
      <c r="AL406" s="34">
        <f>IF(AN406=21,I406,0)</f>
        <v>0</v>
      </c>
      <c r="AN406" s="34">
        <v>21</v>
      </c>
      <c r="AO406" s="34">
        <f>H406*0.743625627</f>
        <v>0</v>
      </c>
      <c r="AP406" s="34">
        <f>H406*(1-0.743625627)</f>
        <v>0</v>
      </c>
      <c r="AQ406" s="65" t="s">
        <v>175</v>
      </c>
      <c r="AV406" s="34">
        <f>ROUND(AW406+AX406,2)</f>
        <v>0</v>
      </c>
      <c r="AW406" s="34">
        <f>ROUND(G406*AO406,2)</f>
        <v>0</v>
      </c>
      <c r="AX406" s="34">
        <f>ROUND(G406*AP406,2)</f>
        <v>0</v>
      </c>
      <c r="AY406" s="65" t="s">
        <v>801</v>
      </c>
      <c r="AZ406" s="65" t="s">
        <v>802</v>
      </c>
      <c r="BA406" s="46" t="s">
        <v>136</v>
      </c>
      <c r="BC406" s="34">
        <f>AW406+AX406</f>
        <v>0</v>
      </c>
      <c r="BD406" s="34">
        <f>H406/(100-BE406)*100</f>
        <v>0</v>
      </c>
      <c r="BE406" s="34">
        <v>0</v>
      </c>
      <c r="BF406" s="34">
        <f>406</f>
        <v>406</v>
      </c>
      <c r="BH406" s="34">
        <f>G406*AO406</f>
        <v>0</v>
      </c>
      <c r="BI406" s="34">
        <f>G406*AP406</f>
        <v>0</v>
      </c>
      <c r="BJ406" s="34">
        <f>G406*H406</f>
        <v>0</v>
      </c>
      <c r="BK406" s="34"/>
      <c r="BL406" s="34">
        <v>711</v>
      </c>
      <c r="BW406" s="34">
        <v>21</v>
      </c>
      <c r="BX406" s="3" t="s">
        <v>809</v>
      </c>
    </row>
    <row r="407" spans="1:76" ht="13.5" customHeight="1" x14ac:dyDescent="0.25">
      <c r="A407" s="66"/>
      <c r="C407" s="69" t="s">
        <v>204</v>
      </c>
      <c r="D407" s="169" t="s">
        <v>810</v>
      </c>
      <c r="E407" s="170"/>
      <c r="F407" s="170"/>
      <c r="G407" s="170"/>
      <c r="H407" s="171"/>
      <c r="I407" s="170"/>
      <c r="J407" s="170"/>
      <c r="K407" s="172"/>
    </row>
    <row r="408" spans="1:76" x14ac:dyDescent="0.25">
      <c r="A408" s="66"/>
      <c r="D408" s="67" t="s">
        <v>715</v>
      </c>
      <c r="E408" s="67" t="s">
        <v>811</v>
      </c>
      <c r="G408" s="68">
        <v>68.400000000000006</v>
      </c>
      <c r="K408" s="59"/>
    </row>
    <row r="409" spans="1:76" x14ac:dyDescent="0.25">
      <c r="A409" s="66"/>
      <c r="D409" s="67" t="s">
        <v>812</v>
      </c>
      <c r="E409" s="67" t="s">
        <v>813</v>
      </c>
      <c r="G409" s="68">
        <v>2.7</v>
      </c>
      <c r="K409" s="59"/>
    </row>
    <row r="410" spans="1:76" x14ac:dyDescent="0.25">
      <c r="A410" s="66"/>
      <c r="D410" s="67" t="s">
        <v>814</v>
      </c>
      <c r="E410" s="67" t="s">
        <v>815</v>
      </c>
      <c r="G410" s="68">
        <v>6.25</v>
      </c>
      <c r="K410" s="59"/>
    </row>
    <row r="411" spans="1:76" x14ac:dyDescent="0.25">
      <c r="A411" s="66"/>
      <c r="D411" s="67" t="s">
        <v>816</v>
      </c>
      <c r="E411" s="67" t="s">
        <v>224</v>
      </c>
      <c r="G411" s="68">
        <v>226.8</v>
      </c>
      <c r="K411" s="59"/>
    </row>
    <row r="412" spans="1:76" x14ac:dyDescent="0.25">
      <c r="A412" s="1" t="s">
        <v>817</v>
      </c>
      <c r="B412" s="2" t="s">
        <v>84</v>
      </c>
      <c r="C412" s="2" t="s">
        <v>818</v>
      </c>
      <c r="D412" s="86" t="s">
        <v>819</v>
      </c>
      <c r="E412" s="81"/>
      <c r="F412" s="2" t="s">
        <v>132</v>
      </c>
      <c r="G412" s="34">
        <v>17.88</v>
      </c>
      <c r="H412" s="64">
        <v>0</v>
      </c>
      <c r="I412" s="34">
        <f>ROUND(G412*H412,2)</f>
        <v>0</v>
      </c>
      <c r="J412" s="65" t="s">
        <v>133</v>
      </c>
      <c r="K412" s="59"/>
      <c r="Z412" s="34">
        <f>ROUND(IF(AQ412="5",BJ412,0),2)</f>
        <v>0</v>
      </c>
      <c r="AB412" s="34">
        <f>ROUND(IF(AQ412="1",BH412,0),2)</f>
        <v>0</v>
      </c>
      <c r="AC412" s="34">
        <f>ROUND(IF(AQ412="1",BI412,0),2)</f>
        <v>0</v>
      </c>
      <c r="AD412" s="34">
        <f>ROUND(IF(AQ412="7",BH412,0),2)</f>
        <v>0</v>
      </c>
      <c r="AE412" s="34">
        <f>ROUND(IF(AQ412="7",BI412,0),2)</f>
        <v>0</v>
      </c>
      <c r="AF412" s="34">
        <f>ROUND(IF(AQ412="2",BH412,0),2)</f>
        <v>0</v>
      </c>
      <c r="AG412" s="34">
        <f>ROUND(IF(AQ412="2",BI412,0),2)</f>
        <v>0</v>
      </c>
      <c r="AH412" s="34">
        <f>ROUND(IF(AQ412="0",BJ412,0),2)</f>
        <v>0</v>
      </c>
      <c r="AI412" s="46" t="s">
        <v>84</v>
      </c>
      <c r="AJ412" s="34">
        <f>IF(AN412=0,I412,0)</f>
        <v>0</v>
      </c>
      <c r="AK412" s="34">
        <f>IF(AN412=12,I412,0)</f>
        <v>0</v>
      </c>
      <c r="AL412" s="34">
        <f>IF(AN412=21,I412,0)</f>
        <v>0</v>
      </c>
      <c r="AN412" s="34">
        <v>21</v>
      </c>
      <c r="AO412" s="34">
        <f>H412*0.726241333</f>
        <v>0</v>
      </c>
      <c r="AP412" s="34">
        <f>H412*(1-0.726241333)</f>
        <v>0</v>
      </c>
      <c r="AQ412" s="65" t="s">
        <v>175</v>
      </c>
      <c r="AV412" s="34">
        <f>ROUND(AW412+AX412,2)</f>
        <v>0</v>
      </c>
      <c r="AW412" s="34">
        <f>ROUND(G412*AO412,2)</f>
        <v>0</v>
      </c>
      <c r="AX412" s="34">
        <f>ROUND(G412*AP412,2)</f>
        <v>0</v>
      </c>
      <c r="AY412" s="65" t="s">
        <v>801</v>
      </c>
      <c r="AZ412" s="65" t="s">
        <v>802</v>
      </c>
      <c r="BA412" s="46" t="s">
        <v>136</v>
      </c>
      <c r="BC412" s="34">
        <f>AW412+AX412</f>
        <v>0</v>
      </c>
      <c r="BD412" s="34">
        <f>H412/(100-BE412)*100</f>
        <v>0</v>
      </c>
      <c r="BE412" s="34">
        <v>0</v>
      </c>
      <c r="BF412" s="34">
        <f>412</f>
        <v>412</v>
      </c>
      <c r="BH412" s="34">
        <f>G412*AO412</f>
        <v>0</v>
      </c>
      <c r="BI412" s="34">
        <f>G412*AP412</f>
        <v>0</v>
      </c>
      <c r="BJ412" s="34">
        <f>G412*H412</f>
        <v>0</v>
      </c>
      <c r="BK412" s="34"/>
      <c r="BL412" s="34">
        <v>711</v>
      </c>
      <c r="BW412" s="34">
        <v>21</v>
      </c>
      <c r="BX412" s="3" t="s">
        <v>819</v>
      </c>
    </row>
    <row r="413" spans="1:76" ht="13.5" customHeight="1" x14ac:dyDescent="0.25">
      <c r="A413" s="66"/>
      <c r="C413" s="69" t="s">
        <v>204</v>
      </c>
      <c r="D413" s="169" t="s">
        <v>820</v>
      </c>
      <c r="E413" s="170"/>
      <c r="F413" s="170"/>
      <c r="G413" s="170"/>
      <c r="H413" s="171"/>
      <c r="I413" s="170"/>
      <c r="J413" s="170"/>
      <c r="K413" s="172"/>
    </row>
    <row r="414" spans="1:76" x14ac:dyDescent="0.25">
      <c r="A414" s="66"/>
      <c r="D414" s="67" t="s">
        <v>821</v>
      </c>
      <c r="E414" s="67" t="s">
        <v>822</v>
      </c>
      <c r="G414" s="68">
        <v>5.28</v>
      </c>
      <c r="K414" s="59"/>
    </row>
    <row r="415" spans="1:76" x14ac:dyDescent="0.25">
      <c r="A415" s="66"/>
      <c r="D415" s="67" t="s">
        <v>823</v>
      </c>
      <c r="E415" s="67" t="s">
        <v>824</v>
      </c>
      <c r="G415" s="68">
        <v>12.6</v>
      </c>
      <c r="K415" s="59"/>
    </row>
    <row r="416" spans="1:76" x14ac:dyDescent="0.25">
      <c r="A416" s="1" t="s">
        <v>825</v>
      </c>
      <c r="B416" s="2" t="s">
        <v>84</v>
      </c>
      <c r="C416" s="2" t="s">
        <v>826</v>
      </c>
      <c r="D416" s="86" t="s">
        <v>827</v>
      </c>
      <c r="E416" s="81"/>
      <c r="F416" s="2" t="s">
        <v>132</v>
      </c>
      <c r="G416" s="34">
        <v>608.29999999999995</v>
      </c>
      <c r="H416" s="64">
        <v>0</v>
      </c>
      <c r="I416" s="34">
        <f>ROUND(G416*H416,2)</f>
        <v>0</v>
      </c>
      <c r="J416" s="65" t="s">
        <v>133</v>
      </c>
      <c r="K416" s="59"/>
      <c r="Z416" s="34">
        <f>ROUND(IF(AQ416="5",BJ416,0),2)</f>
        <v>0</v>
      </c>
      <c r="AB416" s="34">
        <f>ROUND(IF(AQ416="1",BH416,0),2)</f>
        <v>0</v>
      </c>
      <c r="AC416" s="34">
        <f>ROUND(IF(AQ416="1",BI416,0),2)</f>
        <v>0</v>
      </c>
      <c r="AD416" s="34">
        <f>ROUND(IF(AQ416="7",BH416,0),2)</f>
        <v>0</v>
      </c>
      <c r="AE416" s="34">
        <f>ROUND(IF(AQ416="7",BI416,0),2)</f>
        <v>0</v>
      </c>
      <c r="AF416" s="34">
        <f>ROUND(IF(AQ416="2",BH416,0),2)</f>
        <v>0</v>
      </c>
      <c r="AG416" s="34">
        <f>ROUND(IF(AQ416="2",BI416,0),2)</f>
        <v>0</v>
      </c>
      <c r="AH416" s="34">
        <f>ROUND(IF(AQ416="0",BJ416,0),2)</f>
        <v>0</v>
      </c>
      <c r="AI416" s="46" t="s">
        <v>84</v>
      </c>
      <c r="AJ416" s="34">
        <f>IF(AN416=0,I416,0)</f>
        <v>0</v>
      </c>
      <c r="AK416" s="34">
        <f>IF(AN416=12,I416,0)</f>
        <v>0</v>
      </c>
      <c r="AL416" s="34">
        <f>IF(AN416=21,I416,0)</f>
        <v>0</v>
      </c>
      <c r="AN416" s="34">
        <v>21</v>
      </c>
      <c r="AO416" s="34">
        <f>H416*0.612348788</f>
        <v>0</v>
      </c>
      <c r="AP416" s="34">
        <f>H416*(1-0.612348788)</f>
        <v>0</v>
      </c>
      <c r="AQ416" s="65" t="s">
        <v>175</v>
      </c>
      <c r="AV416" s="34">
        <f>ROUND(AW416+AX416,2)</f>
        <v>0</v>
      </c>
      <c r="AW416" s="34">
        <f>ROUND(G416*AO416,2)</f>
        <v>0</v>
      </c>
      <c r="AX416" s="34">
        <f>ROUND(G416*AP416,2)</f>
        <v>0</v>
      </c>
      <c r="AY416" s="65" t="s">
        <v>801</v>
      </c>
      <c r="AZ416" s="65" t="s">
        <v>802</v>
      </c>
      <c r="BA416" s="46" t="s">
        <v>136</v>
      </c>
      <c r="BC416" s="34">
        <f>AW416+AX416</f>
        <v>0</v>
      </c>
      <c r="BD416" s="34">
        <f>H416/(100-BE416)*100</f>
        <v>0</v>
      </c>
      <c r="BE416" s="34">
        <v>0</v>
      </c>
      <c r="BF416" s="34">
        <f>416</f>
        <v>416</v>
      </c>
      <c r="BH416" s="34">
        <f>G416*AO416</f>
        <v>0</v>
      </c>
      <c r="BI416" s="34">
        <f>G416*AP416</f>
        <v>0</v>
      </c>
      <c r="BJ416" s="34">
        <f>G416*H416</f>
        <v>0</v>
      </c>
      <c r="BK416" s="34"/>
      <c r="BL416" s="34">
        <v>711</v>
      </c>
      <c r="BW416" s="34">
        <v>21</v>
      </c>
      <c r="BX416" s="3" t="s">
        <v>827</v>
      </c>
    </row>
    <row r="417" spans="1:76" ht="13.5" customHeight="1" x14ac:dyDescent="0.25">
      <c r="A417" s="66"/>
      <c r="C417" s="69" t="s">
        <v>204</v>
      </c>
      <c r="D417" s="169" t="s">
        <v>828</v>
      </c>
      <c r="E417" s="170"/>
      <c r="F417" s="170"/>
      <c r="G417" s="170"/>
      <c r="H417" s="171"/>
      <c r="I417" s="170"/>
      <c r="J417" s="170"/>
      <c r="K417" s="172"/>
    </row>
    <row r="418" spans="1:76" x14ac:dyDescent="0.25">
      <c r="A418" s="66"/>
      <c r="D418" s="67" t="s">
        <v>829</v>
      </c>
      <c r="E418" s="67" t="s">
        <v>830</v>
      </c>
      <c r="G418" s="68">
        <v>154.69999999999999</v>
      </c>
      <c r="K418" s="59"/>
    </row>
    <row r="419" spans="1:76" x14ac:dyDescent="0.25">
      <c r="A419" s="66"/>
      <c r="D419" s="67" t="s">
        <v>831</v>
      </c>
      <c r="E419" s="67" t="s">
        <v>224</v>
      </c>
      <c r="G419" s="68">
        <v>453.6</v>
      </c>
      <c r="K419" s="59"/>
    </row>
    <row r="420" spans="1:76" x14ac:dyDescent="0.25">
      <c r="A420" s="1" t="s">
        <v>832</v>
      </c>
      <c r="B420" s="2" t="s">
        <v>84</v>
      </c>
      <c r="C420" s="2" t="s">
        <v>833</v>
      </c>
      <c r="D420" s="86" t="s">
        <v>834</v>
      </c>
      <c r="E420" s="81"/>
      <c r="F420" s="2" t="s">
        <v>132</v>
      </c>
      <c r="G420" s="34">
        <v>17.88</v>
      </c>
      <c r="H420" s="64">
        <v>0</v>
      </c>
      <c r="I420" s="34">
        <f>ROUND(G420*H420,2)</f>
        <v>0</v>
      </c>
      <c r="J420" s="65" t="s">
        <v>133</v>
      </c>
      <c r="K420" s="59"/>
      <c r="Z420" s="34">
        <f>ROUND(IF(AQ420="5",BJ420,0),2)</f>
        <v>0</v>
      </c>
      <c r="AB420" s="34">
        <f>ROUND(IF(AQ420="1",BH420,0),2)</f>
        <v>0</v>
      </c>
      <c r="AC420" s="34">
        <f>ROUND(IF(AQ420="1",BI420,0),2)</f>
        <v>0</v>
      </c>
      <c r="AD420" s="34">
        <f>ROUND(IF(AQ420="7",BH420,0),2)</f>
        <v>0</v>
      </c>
      <c r="AE420" s="34">
        <f>ROUND(IF(AQ420="7",BI420,0),2)</f>
        <v>0</v>
      </c>
      <c r="AF420" s="34">
        <f>ROUND(IF(AQ420="2",BH420,0),2)</f>
        <v>0</v>
      </c>
      <c r="AG420" s="34">
        <f>ROUND(IF(AQ420="2",BI420,0),2)</f>
        <v>0</v>
      </c>
      <c r="AH420" s="34">
        <f>ROUND(IF(AQ420="0",BJ420,0),2)</f>
        <v>0</v>
      </c>
      <c r="AI420" s="46" t="s">
        <v>84</v>
      </c>
      <c r="AJ420" s="34">
        <f>IF(AN420=0,I420,0)</f>
        <v>0</v>
      </c>
      <c r="AK420" s="34">
        <f>IF(AN420=12,I420,0)</f>
        <v>0</v>
      </c>
      <c r="AL420" s="34">
        <f>IF(AN420=21,I420,0)</f>
        <v>0</v>
      </c>
      <c r="AN420" s="34">
        <v>21</v>
      </c>
      <c r="AO420" s="34">
        <f>H420*0.632328719</f>
        <v>0</v>
      </c>
      <c r="AP420" s="34">
        <f>H420*(1-0.632328719)</f>
        <v>0</v>
      </c>
      <c r="AQ420" s="65" t="s">
        <v>175</v>
      </c>
      <c r="AV420" s="34">
        <f>ROUND(AW420+AX420,2)</f>
        <v>0</v>
      </c>
      <c r="AW420" s="34">
        <f>ROUND(G420*AO420,2)</f>
        <v>0</v>
      </c>
      <c r="AX420" s="34">
        <f>ROUND(G420*AP420,2)</f>
        <v>0</v>
      </c>
      <c r="AY420" s="65" t="s">
        <v>801</v>
      </c>
      <c r="AZ420" s="65" t="s">
        <v>802</v>
      </c>
      <c r="BA420" s="46" t="s">
        <v>136</v>
      </c>
      <c r="BC420" s="34">
        <f>AW420+AX420</f>
        <v>0</v>
      </c>
      <c r="BD420" s="34">
        <f>H420/(100-BE420)*100</f>
        <v>0</v>
      </c>
      <c r="BE420" s="34">
        <v>0</v>
      </c>
      <c r="BF420" s="34">
        <f>420</f>
        <v>420</v>
      </c>
      <c r="BH420" s="34">
        <f>G420*AO420</f>
        <v>0</v>
      </c>
      <c r="BI420" s="34">
        <f>G420*AP420</f>
        <v>0</v>
      </c>
      <c r="BJ420" s="34">
        <f>G420*H420</f>
        <v>0</v>
      </c>
      <c r="BK420" s="34"/>
      <c r="BL420" s="34">
        <v>711</v>
      </c>
      <c r="BW420" s="34">
        <v>21</v>
      </c>
      <c r="BX420" s="3" t="s">
        <v>834</v>
      </c>
    </row>
    <row r="421" spans="1:76" ht="13.5" customHeight="1" x14ac:dyDescent="0.25">
      <c r="A421" s="66"/>
      <c r="C421" s="69" t="s">
        <v>204</v>
      </c>
      <c r="D421" s="169" t="s">
        <v>835</v>
      </c>
      <c r="E421" s="170"/>
      <c r="F421" s="170"/>
      <c r="G421" s="170"/>
      <c r="H421" s="171"/>
      <c r="I421" s="170"/>
      <c r="J421" s="170"/>
      <c r="K421" s="172"/>
    </row>
    <row r="422" spans="1:76" x14ac:dyDescent="0.25">
      <c r="A422" s="66"/>
      <c r="D422" s="67" t="s">
        <v>836</v>
      </c>
      <c r="E422" s="67" t="s">
        <v>4</v>
      </c>
      <c r="G422" s="68">
        <v>17.88</v>
      </c>
      <c r="K422" s="59"/>
    </row>
    <row r="423" spans="1:76" x14ac:dyDescent="0.25">
      <c r="A423" s="1" t="s">
        <v>837</v>
      </c>
      <c r="B423" s="2" t="s">
        <v>84</v>
      </c>
      <c r="C423" s="2" t="s">
        <v>838</v>
      </c>
      <c r="D423" s="86" t="s">
        <v>839</v>
      </c>
      <c r="E423" s="81"/>
      <c r="F423" s="2" t="s">
        <v>132</v>
      </c>
      <c r="G423" s="34">
        <v>6</v>
      </c>
      <c r="H423" s="64">
        <v>0</v>
      </c>
      <c r="I423" s="34">
        <f>ROUND(G423*H423,2)</f>
        <v>0</v>
      </c>
      <c r="J423" s="65" t="s">
        <v>133</v>
      </c>
      <c r="K423" s="59"/>
      <c r="Z423" s="34">
        <f>ROUND(IF(AQ423="5",BJ423,0),2)</f>
        <v>0</v>
      </c>
      <c r="AB423" s="34">
        <f>ROUND(IF(AQ423="1",BH423,0),2)</f>
        <v>0</v>
      </c>
      <c r="AC423" s="34">
        <f>ROUND(IF(AQ423="1",BI423,0),2)</f>
        <v>0</v>
      </c>
      <c r="AD423" s="34">
        <f>ROUND(IF(AQ423="7",BH423,0),2)</f>
        <v>0</v>
      </c>
      <c r="AE423" s="34">
        <f>ROUND(IF(AQ423="7",BI423,0),2)</f>
        <v>0</v>
      </c>
      <c r="AF423" s="34">
        <f>ROUND(IF(AQ423="2",BH423,0),2)</f>
        <v>0</v>
      </c>
      <c r="AG423" s="34">
        <f>ROUND(IF(AQ423="2",BI423,0),2)</f>
        <v>0</v>
      </c>
      <c r="AH423" s="34">
        <f>ROUND(IF(AQ423="0",BJ423,0),2)</f>
        <v>0</v>
      </c>
      <c r="AI423" s="46" t="s">
        <v>84</v>
      </c>
      <c r="AJ423" s="34">
        <f>IF(AN423=0,I423,0)</f>
        <v>0</v>
      </c>
      <c r="AK423" s="34">
        <f>IF(AN423=12,I423,0)</f>
        <v>0</v>
      </c>
      <c r="AL423" s="34">
        <f>IF(AN423=21,I423,0)</f>
        <v>0</v>
      </c>
      <c r="AN423" s="34">
        <v>21</v>
      </c>
      <c r="AO423" s="34">
        <f>H423*0.637914201</f>
        <v>0</v>
      </c>
      <c r="AP423" s="34">
        <f>H423*(1-0.637914201)</f>
        <v>0</v>
      </c>
      <c r="AQ423" s="65" t="s">
        <v>175</v>
      </c>
      <c r="AV423" s="34">
        <f>ROUND(AW423+AX423,2)</f>
        <v>0</v>
      </c>
      <c r="AW423" s="34">
        <f>ROUND(G423*AO423,2)</f>
        <v>0</v>
      </c>
      <c r="AX423" s="34">
        <f>ROUND(G423*AP423,2)</f>
        <v>0</v>
      </c>
      <c r="AY423" s="65" t="s">
        <v>801</v>
      </c>
      <c r="AZ423" s="65" t="s">
        <v>802</v>
      </c>
      <c r="BA423" s="46" t="s">
        <v>136</v>
      </c>
      <c r="BC423" s="34">
        <f>AW423+AX423</f>
        <v>0</v>
      </c>
      <c r="BD423" s="34">
        <f>H423/(100-BE423)*100</f>
        <v>0</v>
      </c>
      <c r="BE423" s="34">
        <v>0</v>
      </c>
      <c r="BF423" s="34">
        <f>423</f>
        <v>423</v>
      </c>
      <c r="BH423" s="34">
        <f>G423*AO423</f>
        <v>0</v>
      </c>
      <c r="BI423" s="34">
        <f>G423*AP423</f>
        <v>0</v>
      </c>
      <c r="BJ423" s="34">
        <f>G423*H423</f>
        <v>0</v>
      </c>
      <c r="BK423" s="34"/>
      <c r="BL423" s="34">
        <v>711</v>
      </c>
      <c r="BW423" s="34">
        <v>21</v>
      </c>
      <c r="BX423" s="3" t="s">
        <v>839</v>
      </c>
    </row>
    <row r="424" spans="1:76" ht="13.5" customHeight="1" x14ac:dyDescent="0.25">
      <c r="A424" s="66"/>
      <c r="C424" s="69" t="s">
        <v>204</v>
      </c>
      <c r="D424" s="169" t="s">
        <v>840</v>
      </c>
      <c r="E424" s="170"/>
      <c r="F424" s="170"/>
      <c r="G424" s="170"/>
      <c r="H424" s="171"/>
      <c r="I424" s="170"/>
      <c r="J424" s="170"/>
      <c r="K424" s="172"/>
    </row>
    <row r="425" spans="1:76" x14ac:dyDescent="0.25">
      <c r="A425" s="66"/>
      <c r="D425" s="67" t="s">
        <v>171</v>
      </c>
      <c r="E425" s="67" t="s">
        <v>841</v>
      </c>
      <c r="G425" s="68">
        <v>6</v>
      </c>
      <c r="K425" s="59"/>
    </row>
    <row r="426" spans="1:76" x14ac:dyDescent="0.25">
      <c r="A426" s="1" t="s">
        <v>842</v>
      </c>
      <c r="B426" s="2" t="s">
        <v>84</v>
      </c>
      <c r="C426" s="2" t="s">
        <v>843</v>
      </c>
      <c r="D426" s="86" t="s">
        <v>844</v>
      </c>
      <c r="E426" s="81"/>
      <c r="F426" s="2" t="s">
        <v>132</v>
      </c>
      <c r="G426" s="34">
        <v>7.5</v>
      </c>
      <c r="H426" s="64">
        <v>0</v>
      </c>
      <c r="I426" s="34">
        <f>ROUND(G426*H426,2)</f>
        <v>0</v>
      </c>
      <c r="J426" s="65" t="s">
        <v>133</v>
      </c>
      <c r="K426" s="59"/>
      <c r="Z426" s="34">
        <f>ROUND(IF(AQ426="5",BJ426,0),2)</f>
        <v>0</v>
      </c>
      <c r="AB426" s="34">
        <f>ROUND(IF(AQ426="1",BH426,0),2)</f>
        <v>0</v>
      </c>
      <c r="AC426" s="34">
        <f>ROUND(IF(AQ426="1",BI426,0),2)</f>
        <v>0</v>
      </c>
      <c r="AD426" s="34">
        <f>ROUND(IF(AQ426="7",BH426,0),2)</f>
        <v>0</v>
      </c>
      <c r="AE426" s="34">
        <f>ROUND(IF(AQ426="7",BI426,0),2)</f>
        <v>0</v>
      </c>
      <c r="AF426" s="34">
        <f>ROUND(IF(AQ426="2",BH426,0),2)</f>
        <v>0</v>
      </c>
      <c r="AG426" s="34">
        <f>ROUND(IF(AQ426="2",BI426,0),2)</f>
        <v>0</v>
      </c>
      <c r="AH426" s="34">
        <f>ROUND(IF(AQ426="0",BJ426,0),2)</f>
        <v>0</v>
      </c>
      <c r="AI426" s="46" t="s">
        <v>84</v>
      </c>
      <c r="AJ426" s="34">
        <f>IF(AN426=0,I426,0)</f>
        <v>0</v>
      </c>
      <c r="AK426" s="34">
        <f>IF(AN426=12,I426,0)</f>
        <v>0</v>
      </c>
      <c r="AL426" s="34">
        <f>IF(AN426=21,I426,0)</f>
        <v>0</v>
      </c>
      <c r="AN426" s="34">
        <v>21</v>
      </c>
      <c r="AO426" s="34">
        <f>H426*0.622535657</f>
        <v>0</v>
      </c>
      <c r="AP426" s="34">
        <f>H426*(1-0.622535657)</f>
        <v>0</v>
      </c>
      <c r="AQ426" s="65" t="s">
        <v>175</v>
      </c>
      <c r="AV426" s="34">
        <f>ROUND(AW426+AX426,2)</f>
        <v>0</v>
      </c>
      <c r="AW426" s="34">
        <f>ROUND(G426*AO426,2)</f>
        <v>0</v>
      </c>
      <c r="AX426" s="34">
        <f>ROUND(G426*AP426,2)</f>
        <v>0</v>
      </c>
      <c r="AY426" s="65" t="s">
        <v>801</v>
      </c>
      <c r="AZ426" s="65" t="s">
        <v>802</v>
      </c>
      <c r="BA426" s="46" t="s">
        <v>136</v>
      </c>
      <c r="BC426" s="34">
        <f>AW426+AX426</f>
        <v>0</v>
      </c>
      <c r="BD426" s="34">
        <f>H426/(100-BE426)*100</f>
        <v>0</v>
      </c>
      <c r="BE426" s="34">
        <v>0</v>
      </c>
      <c r="BF426" s="34">
        <f>426</f>
        <v>426</v>
      </c>
      <c r="BH426" s="34">
        <f>G426*AO426</f>
        <v>0</v>
      </c>
      <c r="BI426" s="34">
        <f>G426*AP426</f>
        <v>0</v>
      </c>
      <c r="BJ426" s="34">
        <f>G426*H426</f>
        <v>0</v>
      </c>
      <c r="BK426" s="34"/>
      <c r="BL426" s="34">
        <v>711</v>
      </c>
      <c r="BW426" s="34">
        <v>21</v>
      </c>
      <c r="BX426" s="3" t="s">
        <v>844</v>
      </c>
    </row>
    <row r="427" spans="1:76" ht="13.5" customHeight="1" x14ac:dyDescent="0.25">
      <c r="A427" s="66"/>
      <c r="C427" s="69" t="s">
        <v>204</v>
      </c>
      <c r="D427" s="169" t="s">
        <v>845</v>
      </c>
      <c r="E427" s="170"/>
      <c r="F427" s="170"/>
      <c r="G427" s="170"/>
      <c r="H427" s="171"/>
      <c r="I427" s="170"/>
      <c r="J427" s="170"/>
      <c r="K427" s="172"/>
    </row>
    <row r="428" spans="1:76" x14ac:dyDescent="0.25">
      <c r="A428" s="66"/>
      <c r="D428" s="67" t="s">
        <v>683</v>
      </c>
      <c r="E428" s="67" t="s">
        <v>4</v>
      </c>
      <c r="G428" s="68">
        <v>7.5</v>
      </c>
      <c r="K428" s="59"/>
    </row>
    <row r="429" spans="1:76" x14ac:dyDescent="0.25">
      <c r="A429" s="1" t="s">
        <v>846</v>
      </c>
      <c r="B429" s="2" t="s">
        <v>84</v>
      </c>
      <c r="C429" s="2" t="s">
        <v>847</v>
      </c>
      <c r="D429" s="86" t="s">
        <v>848</v>
      </c>
      <c r="E429" s="81"/>
      <c r="F429" s="2" t="s">
        <v>239</v>
      </c>
      <c r="G429" s="34">
        <v>7.5</v>
      </c>
      <c r="H429" s="64">
        <v>0</v>
      </c>
      <c r="I429" s="34">
        <f>ROUND(G429*H429,2)</f>
        <v>0</v>
      </c>
      <c r="J429" s="65" t="s">
        <v>133</v>
      </c>
      <c r="K429" s="59"/>
      <c r="Z429" s="34">
        <f>ROUND(IF(AQ429="5",BJ429,0),2)</f>
        <v>0</v>
      </c>
      <c r="AB429" s="34">
        <f>ROUND(IF(AQ429="1",BH429,0),2)</f>
        <v>0</v>
      </c>
      <c r="AC429" s="34">
        <f>ROUND(IF(AQ429="1",BI429,0),2)</f>
        <v>0</v>
      </c>
      <c r="AD429" s="34">
        <f>ROUND(IF(AQ429="7",BH429,0),2)</f>
        <v>0</v>
      </c>
      <c r="AE429" s="34">
        <f>ROUND(IF(AQ429="7",BI429,0),2)</f>
        <v>0</v>
      </c>
      <c r="AF429" s="34">
        <f>ROUND(IF(AQ429="2",BH429,0),2)</f>
        <v>0</v>
      </c>
      <c r="AG429" s="34">
        <f>ROUND(IF(AQ429="2",BI429,0),2)</f>
        <v>0</v>
      </c>
      <c r="AH429" s="34">
        <f>ROUND(IF(AQ429="0",BJ429,0),2)</f>
        <v>0</v>
      </c>
      <c r="AI429" s="46" t="s">
        <v>84</v>
      </c>
      <c r="AJ429" s="34">
        <f>IF(AN429=0,I429,0)</f>
        <v>0</v>
      </c>
      <c r="AK429" s="34">
        <f>IF(AN429=12,I429,0)</f>
        <v>0</v>
      </c>
      <c r="AL429" s="34">
        <f>IF(AN429=21,I429,0)</f>
        <v>0</v>
      </c>
      <c r="AN429" s="34">
        <v>21</v>
      </c>
      <c r="AO429" s="34">
        <f>H429*0.456581197</f>
        <v>0</v>
      </c>
      <c r="AP429" s="34">
        <f>H429*(1-0.456581197)</f>
        <v>0</v>
      </c>
      <c r="AQ429" s="65" t="s">
        <v>175</v>
      </c>
      <c r="AV429" s="34">
        <f>ROUND(AW429+AX429,2)</f>
        <v>0</v>
      </c>
      <c r="AW429" s="34">
        <f>ROUND(G429*AO429,2)</f>
        <v>0</v>
      </c>
      <c r="AX429" s="34">
        <f>ROUND(G429*AP429,2)</f>
        <v>0</v>
      </c>
      <c r="AY429" s="65" t="s">
        <v>801</v>
      </c>
      <c r="AZ429" s="65" t="s">
        <v>802</v>
      </c>
      <c r="BA429" s="46" t="s">
        <v>136</v>
      </c>
      <c r="BC429" s="34">
        <f>AW429+AX429</f>
        <v>0</v>
      </c>
      <c r="BD429" s="34">
        <f>H429/(100-BE429)*100</f>
        <v>0</v>
      </c>
      <c r="BE429" s="34">
        <v>0</v>
      </c>
      <c r="BF429" s="34">
        <f>429</f>
        <v>429</v>
      </c>
      <c r="BH429" s="34">
        <f>G429*AO429</f>
        <v>0</v>
      </c>
      <c r="BI429" s="34">
        <f>G429*AP429</f>
        <v>0</v>
      </c>
      <c r="BJ429" s="34">
        <f>G429*H429</f>
        <v>0</v>
      </c>
      <c r="BK429" s="34"/>
      <c r="BL429" s="34">
        <v>711</v>
      </c>
      <c r="BW429" s="34">
        <v>21</v>
      </c>
      <c r="BX429" s="3" t="s">
        <v>848</v>
      </c>
    </row>
    <row r="430" spans="1:76" ht="13.5" customHeight="1" x14ac:dyDescent="0.25">
      <c r="A430" s="66"/>
      <c r="C430" s="69" t="s">
        <v>204</v>
      </c>
      <c r="D430" s="169" t="s">
        <v>704</v>
      </c>
      <c r="E430" s="170"/>
      <c r="F430" s="170"/>
      <c r="G430" s="170"/>
      <c r="H430" s="171"/>
      <c r="I430" s="170"/>
      <c r="J430" s="170"/>
      <c r="K430" s="172"/>
    </row>
    <row r="431" spans="1:76" x14ac:dyDescent="0.25">
      <c r="A431" s="66"/>
      <c r="D431" s="67" t="s">
        <v>849</v>
      </c>
      <c r="E431" s="67" t="s">
        <v>4</v>
      </c>
      <c r="G431" s="68">
        <v>7.5</v>
      </c>
      <c r="K431" s="59"/>
    </row>
    <row r="432" spans="1:76" x14ac:dyDescent="0.25">
      <c r="A432" s="1" t="s">
        <v>850</v>
      </c>
      <c r="B432" s="2" t="s">
        <v>84</v>
      </c>
      <c r="C432" s="2" t="s">
        <v>851</v>
      </c>
      <c r="D432" s="86" t="s">
        <v>852</v>
      </c>
      <c r="E432" s="81"/>
      <c r="F432" s="2" t="s">
        <v>132</v>
      </c>
      <c r="G432" s="34">
        <v>160</v>
      </c>
      <c r="H432" s="64">
        <v>0</v>
      </c>
      <c r="I432" s="34">
        <f>ROUND(G432*H432,2)</f>
        <v>0</v>
      </c>
      <c r="J432" s="65" t="s">
        <v>133</v>
      </c>
      <c r="K432" s="59"/>
      <c r="Z432" s="34">
        <f>ROUND(IF(AQ432="5",BJ432,0),2)</f>
        <v>0</v>
      </c>
      <c r="AB432" s="34">
        <f>ROUND(IF(AQ432="1",BH432,0),2)</f>
        <v>0</v>
      </c>
      <c r="AC432" s="34">
        <f>ROUND(IF(AQ432="1",BI432,0),2)</f>
        <v>0</v>
      </c>
      <c r="AD432" s="34">
        <f>ROUND(IF(AQ432="7",BH432,0),2)</f>
        <v>0</v>
      </c>
      <c r="AE432" s="34">
        <f>ROUND(IF(AQ432="7",BI432,0),2)</f>
        <v>0</v>
      </c>
      <c r="AF432" s="34">
        <f>ROUND(IF(AQ432="2",BH432,0),2)</f>
        <v>0</v>
      </c>
      <c r="AG432" s="34">
        <f>ROUND(IF(AQ432="2",BI432,0),2)</f>
        <v>0</v>
      </c>
      <c r="AH432" s="34">
        <f>ROUND(IF(AQ432="0",BJ432,0),2)</f>
        <v>0</v>
      </c>
      <c r="AI432" s="46" t="s">
        <v>84</v>
      </c>
      <c r="AJ432" s="34">
        <f>IF(AN432=0,I432,0)</f>
        <v>0</v>
      </c>
      <c r="AK432" s="34">
        <f>IF(AN432=12,I432,0)</f>
        <v>0</v>
      </c>
      <c r="AL432" s="34">
        <f>IF(AN432=21,I432,0)</f>
        <v>0</v>
      </c>
      <c r="AN432" s="34">
        <v>21</v>
      </c>
      <c r="AO432" s="34">
        <f>H432*0.317368226</f>
        <v>0</v>
      </c>
      <c r="AP432" s="34">
        <f>H432*(1-0.317368226)</f>
        <v>0</v>
      </c>
      <c r="AQ432" s="65" t="s">
        <v>175</v>
      </c>
      <c r="AV432" s="34">
        <f>ROUND(AW432+AX432,2)</f>
        <v>0</v>
      </c>
      <c r="AW432" s="34">
        <f>ROUND(G432*AO432,2)</f>
        <v>0</v>
      </c>
      <c r="AX432" s="34">
        <f>ROUND(G432*AP432,2)</f>
        <v>0</v>
      </c>
      <c r="AY432" s="65" t="s">
        <v>801</v>
      </c>
      <c r="AZ432" s="65" t="s">
        <v>802</v>
      </c>
      <c r="BA432" s="46" t="s">
        <v>136</v>
      </c>
      <c r="BC432" s="34">
        <f>AW432+AX432</f>
        <v>0</v>
      </c>
      <c r="BD432" s="34">
        <f>H432/(100-BE432)*100</f>
        <v>0</v>
      </c>
      <c r="BE432" s="34">
        <v>0</v>
      </c>
      <c r="BF432" s="34">
        <f>432</f>
        <v>432</v>
      </c>
      <c r="BH432" s="34">
        <f>G432*AO432</f>
        <v>0</v>
      </c>
      <c r="BI432" s="34">
        <f>G432*AP432</f>
        <v>0</v>
      </c>
      <c r="BJ432" s="34">
        <f>G432*H432</f>
        <v>0</v>
      </c>
      <c r="BK432" s="34"/>
      <c r="BL432" s="34">
        <v>711</v>
      </c>
      <c r="BW432" s="34">
        <v>21</v>
      </c>
      <c r="BX432" s="3" t="s">
        <v>852</v>
      </c>
    </row>
    <row r="433" spans="1:76" ht="13.5" customHeight="1" x14ac:dyDescent="0.25">
      <c r="A433" s="66"/>
      <c r="C433" s="69" t="s">
        <v>204</v>
      </c>
      <c r="D433" s="169" t="s">
        <v>853</v>
      </c>
      <c r="E433" s="170"/>
      <c r="F433" s="170"/>
      <c r="G433" s="170"/>
      <c r="H433" s="171"/>
      <c r="I433" s="170"/>
      <c r="J433" s="170"/>
      <c r="K433" s="172"/>
    </row>
    <row r="434" spans="1:76" x14ac:dyDescent="0.25">
      <c r="A434" s="66"/>
      <c r="D434" s="67" t="s">
        <v>854</v>
      </c>
      <c r="E434" s="67" t="s">
        <v>4</v>
      </c>
      <c r="G434" s="68">
        <v>160</v>
      </c>
      <c r="K434" s="59"/>
    </row>
    <row r="435" spans="1:76" x14ac:dyDescent="0.25">
      <c r="A435" s="1" t="s">
        <v>855</v>
      </c>
      <c r="B435" s="2" t="s">
        <v>84</v>
      </c>
      <c r="C435" s="2" t="s">
        <v>856</v>
      </c>
      <c r="D435" s="86" t="s">
        <v>857</v>
      </c>
      <c r="E435" s="81"/>
      <c r="F435" s="2" t="s">
        <v>132</v>
      </c>
      <c r="G435" s="34">
        <v>160</v>
      </c>
      <c r="H435" s="64">
        <v>0</v>
      </c>
      <c r="I435" s="34">
        <f>ROUND(G435*H435,2)</f>
        <v>0</v>
      </c>
      <c r="J435" s="65" t="s">
        <v>133</v>
      </c>
      <c r="K435" s="59"/>
      <c r="Z435" s="34">
        <f>ROUND(IF(AQ435="5",BJ435,0),2)</f>
        <v>0</v>
      </c>
      <c r="AB435" s="34">
        <f>ROUND(IF(AQ435="1",BH435,0),2)</f>
        <v>0</v>
      </c>
      <c r="AC435" s="34">
        <f>ROUND(IF(AQ435="1",BI435,0),2)</f>
        <v>0</v>
      </c>
      <c r="AD435" s="34">
        <f>ROUND(IF(AQ435="7",BH435,0),2)</f>
        <v>0</v>
      </c>
      <c r="AE435" s="34">
        <f>ROUND(IF(AQ435="7",BI435,0),2)</f>
        <v>0</v>
      </c>
      <c r="AF435" s="34">
        <f>ROUND(IF(AQ435="2",BH435,0),2)</f>
        <v>0</v>
      </c>
      <c r="AG435" s="34">
        <f>ROUND(IF(AQ435="2",BI435,0),2)</f>
        <v>0</v>
      </c>
      <c r="AH435" s="34">
        <f>ROUND(IF(AQ435="0",BJ435,0),2)</f>
        <v>0</v>
      </c>
      <c r="AI435" s="46" t="s">
        <v>84</v>
      </c>
      <c r="AJ435" s="34">
        <f>IF(AN435=0,I435,0)</f>
        <v>0</v>
      </c>
      <c r="AK435" s="34">
        <f>IF(AN435=12,I435,0)</f>
        <v>0</v>
      </c>
      <c r="AL435" s="34">
        <f>IF(AN435=21,I435,0)</f>
        <v>0</v>
      </c>
      <c r="AN435" s="34">
        <v>21</v>
      </c>
      <c r="AO435" s="34">
        <f>H435*0.630109091</f>
        <v>0</v>
      </c>
      <c r="AP435" s="34">
        <f>H435*(1-0.630109091)</f>
        <v>0</v>
      </c>
      <c r="AQ435" s="65" t="s">
        <v>175</v>
      </c>
      <c r="AV435" s="34">
        <f>ROUND(AW435+AX435,2)</f>
        <v>0</v>
      </c>
      <c r="AW435" s="34">
        <f>ROUND(G435*AO435,2)</f>
        <v>0</v>
      </c>
      <c r="AX435" s="34">
        <f>ROUND(G435*AP435,2)</f>
        <v>0</v>
      </c>
      <c r="AY435" s="65" t="s">
        <v>801</v>
      </c>
      <c r="AZ435" s="65" t="s">
        <v>802</v>
      </c>
      <c r="BA435" s="46" t="s">
        <v>136</v>
      </c>
      <c r="BC435" s="34">
        <f>AW435+AX435</f>
        <v>0</v>
      </c>
      <c r="BD435" s="34">
        <f>H435/(100-BE435)*100</f>
        <v>0</v>
      </c>
      <c r="BE435" s="34">
        <v>0</v>
      </c>
      <c r="BF435" s="34">
        <f>435</f>
        <v>435</v>
      </c>
      <c r="BH435" s="34">
        <f>G435*AO435</f>
        <v>0</v>
      </c>
      <c r="BI435" s="34">
        <f>G435*AP435</f>
        <v>0</v>
      </c>
      <c r="BJ435" s="34">
        <f>G435*H435</f>
        <v>0</v>
      </c>
      <c r="BK435" s="34"/>
      <c r="BL435" s="34">
        <v>711</v>
      </c>
      <c r="BW435" s="34">
        <v>21</v>
      </c>
      <c r="BX435" s="3" t="s">
        <v>857</v>
      </c>
    </row>
    <row r="436" spans="1:76" ht="13.5" customHeight="1" x14ac:dyDescent="0.25">
      <c r="A436" s="66"/>
      <c r="C436" s="69" t="s">
        <v>204</v>
      </c>
      <c r="D436" s="169" t="s">
        <v>858</v>
      </c>
      <c r="E436" s="170"/>
      <c r="F436" s="170"/>
      <c r="G436" s="170"/>
      <c r="H436" s="171"/>
      <c r="I436" s="170"/>
      <c r="J436" s="170"/>
      <c r="K436" s="172"/>
    </row>
    <row r="437" spans="1:76" x14ac:dyDescent="0.25">
      <c r="A437" s="66"/>
      <c r="D437" s="67" t="s">
        <v>854</v>
      </c>
      <c r="E437" s="67" t="s">
        <v>4</v>
      </c>
      <c r="G437" s="68">
        <v>160</v>
      </c>
      <c r="K437" s="59"/>
    </row>
    <row r="438" spans="1:76" x14ac:dyDescent="0.25">
      <c r="A438" s="1" t="s">
        <v>859</v>
      </c>
      <c r="B438" s="2" t="s">
        <v>84</v>
      </c>
      <c r="C438" s="2" t="s">
        <v>860</v>
      </c>
      <c r="D438" s="86" t="s">
        <v>861</v>
      </c>
      <c r="E438" s="81"/>
      <c r="F438" s="2" t="s">
        <v>239</v>
      </c>
      <c r="G438" s="34">
        <v>130.9</v>
      </c>
      <c r="H438" s="64">
        <v>0</v>
      </c>
      <c r="I438" s="34">
        <f>ROUND(G438*H438,2)</f>
        <v>0</v>
      </c>
      <c r="J438" s="65" t="s">
        <v>133</v>
      </c>
      <c r="K438" s="59"/>
      <c r="Z438" s="34">
        <f>ROUND(IF(AQ438="5",BJ438,0),2)</f>
        <v>0</v>
      </c>
      <c r="AB438" s="34">
        <f>ROUND(IF(AQ438="1",BH438,0),2)</f>
        <v>0</v>
      </c>
      <c r="AC438" s="34">
        <f>ROUND(IF(AQ438="1",BI438,0),2)</f>
        <v>0</v>
      </c>
      <c r="AD438" s="34">
        <f>ROUND(IF(AQ438="7",BH438,0),2)</f>
        <v>0</v>
      </c>
      <c r="AE438" s="34">
        <f>ROUND(IF(AQ438="7",BI438,0),2)</f>
        <v>0</v>
      </c>
      <c r="AF438" s="34">
        <f>ROUND(IF(AQ438="2",BH438,0),2)</f>
        <v>0</v>
      </c>
      <c r="AG438" s="34">
        <f>ROUND(IF(AQ438="2",BI438,0),2)</f>
        <v>0</v>
      </c>
      <c r="AH438" s="34">
        <f>ROUND(IF(AQ438="0",BJ438,0),2)</f>
        <v>0</v>
      </c>
      <c r="AI438" s="46" t="s">
        <v>84</v>
      </c>
      <c r="AJ438" s="34">
        <f>IF(AN438=0,I438,0)</f>
        <v>0</v>
      </c>
      <c r="AK438" s="34">
        <f>IF(AN438=12,I438,0)</f>
        <v>0</v>
      </c>
      <c r="AL438" s="34">
        <f>IF(AN438=21,I438,0)</f>
        <v>0</v>
      </c>
      <c r="AN438" s="34">
        <v>21</v>
      </c>
      <c r="AO438" s="34">
        <f>H438*0.666968106</f>
        <v>0</v>
      </c>
      <c r="AP438" s="34">
        <f>H438*(1-0.666968106)</f>
        <v>0</v>
      </c>
      <c r="AQ438" s="65" t="s">
        <v>175</v>
      </c>
      <c r="AV438" s="34">
        <f>ROUND(AW438+AX438,2)</f>
        <v>0</v>
      </c>
      <c r="AW438" s="34">
        <f>ROUND(G438*AO438,2)</f>
        <v>0</v>
      </c>
      <c r="AX438" s="34">
        <f>ROUND(G438*AP438,2)</f>
        <v>0</v>
      </c>
      <c r="AY438" s="65" t="s">
        <v>801</v>
      </c>
      <c r="AZ438" s="65" t="s">
        <v>802</v>
      </c>
      <c r="BA438" s="46" t="s">
        <v>136</v>
      </c>
      <c r="BC438" s="34">
        <f>AW438+AX438</f>
        <v>0</v>
      </c>
      <c r="BD438" s="34">
        <f>H438/(100-BE438)*100</f>
        <v>0</v>
      </c>
      <c r="BE438" s="34">
        <v>0</v>
      </c>
      <c r="BF438" s="34">
        <f>438</f>
        <v>438</v>
      </c>
      <c r="BH438" s="34">
        <f>G438*AO438</f>
        <v>0</v>
      </c>
      <c r="BI438" s="34">
        <f>G438*AP438</f>
        <v>0</v>
      </c>
      <c r="BJ438" s="34">
        <f>G438*H438</f>
        <v>0</v>
      </c>
      <c r="BK438" s="34"/>
      <c r="BL438" s="34">
        <v>711</v>
      </c>
      <c r="BW438" s="34">
        <v>21</v>
      </c>
      <c r="BX438" s="3" t="s">
        <v>861</v>
      </c>
    </row>
    <row r="439" spans="1:76" ht="13.5" customHeight="1" x14ac:dyDescent="0.25">
      <c r="A439" s="66"/>
      <c r="C439" s="69" t="s">
        <v>204</v>
      </c>
      <c r="D439" s="169" t="s">
        <v>862</v>
      </c>
      <c r="E439" s="170"/>
      <c r="F439" s="170"/>
      <c r="G439" s="170"/>
      <c r="H439" s="171"/>
      <c r="I439" s="170"/>
      <c r="J439" s="170"/>
      <c r="K439" s="172"/>
    </row>
    <row r="440" spans="1:76" x14ac:dyDescent="0.25">
      <c r="A440" s="66"/>
      <c r="D440" s="67" t="s">
        <v>863</v>
      </c>
      <c r="E440" s="67" t="s">
        <v>4</v>
      </c>
      <c r="G440" s="68">
        <v>9.4</v>
      </c>
      <c r="K440" s="59"/>
    </row>
    <row r="441" spans="1:76" x14ac:dyDescent="0.25">
      <c r="A441" s="66"/>
      <c r="D441" s="67" t="s">
        <v>864</v>
      </c>
      <c r="E441" s="67" t="s">
        <v>4</v>
      </c>
      <c r="G441" s="68">
        <v>5.2</v>
      </c>
      <c r="K441" s="59"/>
    </row>
    <row r="442" spans="1:76" x14ac:dyDescent="0.25">
      <c r="A442" s="66"/>
      <c r="D442" s="67" t="s">
        <v>865</v>
      </c>
      <c r="E442" s="67" t="s">
        <v>4</v>
      </c>
      <c r="G442" s="68">
        <v>4.5999999999999996</v>
      </c>
      <c r="K442" s="59"/>
    </row>
    <row r="443" spans="1:76" x14ac:dyDescent="0.25">
      <c r="A443" s="66"/>
      <c r="D443" s="67" t="s">
        <v>866</v>
      </c>
      <c r="E443" s="67" t="s">
        <v>4</v>
      </c>
      <c r="G443" s="68">
        <v>6</v>
      </c>
      <c r="K443" s="59"/>
    </row>
    <row r="444" spans="1:76" x14ac:dyDescent="0.25">
      <c r="A444" s="66"/>
      <c r="D444" s="67" t="s">
        <v>866</v>
      </c>
      <c r="E444" s="67" t="s">
        <v>4</v>
      </c>
      <c r="G444" s="68">
        <v>6</v>
      </c>
      <c r="K444" s="59"/>
    </row>
    <row r="445" spans="1:76" x14ac:dyDescent="0.25">
      <c r="A445" s="66"/>
      <c r="D445" s="67" t="s">
        <v>867</v>
      </c>
      <c r="E445" s="67" t="s">
        <v>4</v>
      </c>
      <c r="G445" s="68">
        <v>25.9</v>
      </c>
      <c r="K445" s="59"/>
    </row>
    <row r="446" spans="1:76" x14ac:dyDescent="0.25">
      <c r="A446" s="66"/>
      <c r="D446" s="67" t="s">
        <v>868</v>
      </c>
      <c r="E446" s="67" t="s">
        <v>4</v>
      </c>
      <c r="G446" s="68">
        <v>11.9</v>
      </c>
      <c r="K446" s="59"/>
    </row>
    <row r="447" spans="1:76" x14ac:dyDescent="0.25">
      <c r="A447" s="66"/>
      <c r="D447" s="67" t="s">
        <v>869</v>
      </c>
      <c r="E447" s="67" t="s">
        <v>4</v>
      </c>
      <c r="G447" s="68">
        <v>11</v>
      </c>
      <c r="K447" s="59"/>
    </row>
    <row r="448" spans="1:76" x14ac:dyDescent="0.25">
      <c r="A448" s="66"/>
      <c r="D448" s="67" t="s">
        <v>870</v>
      </c>
      <c r="E448" s="67" t="s">
        <v>4</v>
      </c>
      <c r="G448" s="68">
        <v>9.8000000000000007</v>
      </c>
      <c r="K448" s="59"/>
    </row>
    <row r="449" spans="1:76" x14ac:dyDescent="0.25">
      <c r="A449" s="66"/>
      <c r="D449" s="67" t="s">
        <v>871</v>
      </c>
      <c r="E449" s="67" t="s">
        <v>4</v>
      </c>
      <c r="G449" s="68">
        <v>13.9</v>
      </c>
      <c r="K449" s="59"/>
    </row>
    <row r="450" spans="1:76" x14ac:dyDescent="0.25">
      <c r="A450" s="66"/>
      <c r="D450" s="67" t="s">
        <v>872</v>
      </c>
      <c r="E450" s="67" t="s">
        <v>4</v>
      </c>
      <c r="G450" s="68">
        <v>12.4</v>
      </c>
      <c r="K450" s="59"/>
    </row>
    <row r="451" spans="1:76" x14ac:dyDescent="0.25">
      <c r="A451" s="66"/>
      <c r="D451" s="67" t="s">
        <v>873</v>
      </c>
      <c r="E451" s="67" t="s">
        <v>4</v>
      </c>
      <c r="G451" s="68">
        <v>5.7</v>
      </c>
      <c r="K451" s="59"/>
    </row>
    <row r="452" spans="1:76" x14ac:dyDescent="0.25">
      <c r="A452" s="66"/>
      <c r="D452" s="67" t="s">
        <v>874</v>
      </c>
      <c r="E452" s="67" t="s">
        <v>4</v>
      </c>
      <c r="G452" s="68">
        <v>9.1</v>
      </c>
      <c r="K452" s="59"/>
    </row>
    <row r="453" spans="1:76" x14ac:dyDescent="0.25">
      <c r="A453" s="1" t="s">
        <v>875</v>
      </c>
      <c r="B453" s="2" t="s">
        <v>84</v>
      </c>
      <c r="C453" s="2" t="s">
        <v>876</v>
      </c>
      <c r="D453" s="86" t="s">
        <v>877</v>
      </c>
      <c r="E453" s="81"/>
      <c r="F453" s="2" t="s">
        <v>239</v>
      </c>
      <c r="G453" s="34">
        <v>20</v>
      </c>
      <c r="H453" s="64">
        <v>0</v>
      </c>
      <c r="I453" s="34">
        <f>ROUND(G453*H453,2)</f>
        <v>0</v>
      </c>
      <c r="J453" s="65" t="s">
        <v>133</v>
      </c>
      <c r="K453" s="59"/>
      <c r="Z453" s="34">
        <f>ROUND(IF(AQ453="5",BJ453,0),2)</f>
        <v>0</v>
      </c>
      <c r="AB453" s="34">
        <f>ROUND(IF(AQ453="1",BH453,0),2)</f>
        <v>0</v>
      </c>
      <c r="AC453" s="34">
        <f>ROUND(IF(AQ453="1",BI453,0),2)</f>
        <v>0</v>
      </c>
      <c r="AD453" s="34">
        <f>ROUND(IF(AQ453="7",BH453,0),2)</f>
        <v>0</v>
      </c>
      <c r="AE453" s="34">
        <f>ROUND(IF(AQ453="7",BI453,0),2)</f>
        <v>0</v>
      </c>
      <c r="AF453" s="34">
        <f>ROUND(IF(AQ453="2",BH453,0),2)</f>
        <v>0</v>
      </c>
      <c r="AG453" s="34">
        <f>ROUND(IF(AQ453="2",BI453,0),2)</f>
        <v>0</v>
      </c>
      <c r="AH453" s="34">
        <f>ROUND(IF(AQ453="0",BJ453,0),2)</f>
        <v>0</v>
      </c>
      <c r="AI453" s="46" t="s">
        <v>84</v>
      </c>
      <c r="AJ453" s="34">
        <f>IF(AN453=0,I453,0)</f>
        <v>0</v>
      </c>
      <c r="AK453" s="34">
        <f>IF(AN453=12,I453,0)</f>
        <v>0</v>
      </c>
      <c r="AL453" s="34">
        <f>IF(AN453=21,I453,0)</f>
        <v>0</v>
      </c>
      <c r="AN453" s="34">
        <v>21</v>
      </c>
      <c r="AO453" s="34">
        <f>H453*0.611310044</f>
        <v>0</v>
      </c>
      <c r="AP453" s="34">
        <f>H453*(1-0.611310044)</f>
        <v>0</v>
      </c>
      <c r="AQ453" s="65" t="s">
        <v>175</v>
      </c>
      <c r="AV453" s="34">
        <f>ROUND(AW453+AX453,2)</f>
        <v>0</v>
      </c>
      <c r="AW453" s="34">
        <f>ROUND(G453*AO453,2)</f>
        <v>0</v>
      </c>
      <c r="AX453" s="34">
        <f>ROUND(G453*AP453,2)</f>
        <v>0</v>
      </c>
      <c r="AY453" s="65" t="s">
        <v>801</v>
      </c>
      <c r="AZ453" s="65" t="s">
        <v>802</v>
      </c>
      <c r="BA453" s="46" t="s">
        <v>136</v>
      </c>
      <c r="BC453" s="34">
        <f>AW453+AX453</f>
        <v>0</v>
      </c>
      <c r="BD453" s="34">
        <f>H453/(100-BE453)*100</f>
        <v>0</v>
      </c>
      <c r="BE453" s="34">
        <v>0</v>
      </c>
      <c r="BF453" s="34">
        <f>453</f>
        <v>453</v>
      </c>
      <c r="BH453" s="34">
        <f>G453*AO453</f>
        <v>0</v>
      </c>
      <c r="BI453" s="34">
        <f>G453*AP453</f>
        <v>0</v>
      </c>
      <c r="BJ453" s="34">
        <f>G453*H453</f>
        <v>0</v>
      </c>
      <c r="BK453" s="34"/>
      <c r="BL453" s="34">
        <v>711</v>
      </c>
      <c r="BW453" s="34">
        <v>21</v>
      </c>
      <c r="BX453" s="3" t="s">
        <v>877</v>
      </c>
    </row>
    <row r="454" spans="1:76" ht="13.5" customHeight="1" x14ac:dyDescent="0.25">
      <c r="A454" s="66"/>
      <c r="C454" s="69" t="s">
        <v>204</v>
      </c>
      <c r="D454" s="169" t="s">
        <v>878</v>
      </c>
      <c r="E454" s="170"/>
      <c r="F454" s="170"/>
      <c r="G454" s="170"/>
      <c r="H454" s="171"/>
      <c r="I454" s="170"/>
      <c r="J454" s="170"/>
      <c r="K454" s="172"/>
    </row>
    <row r="455" spans="1:76" x14ac:dyDescent="0.25">
      <c r="A455" s="66"/>
      <c r="D455" s="67" t="s">
        <v>273</v>
      </c>
      <c r="E455" s="67" t="s">
        <v>4</v>
      </c>
      <c r="G455" s="68">
        <v>20</v>
      </c>
      <c r="K455" s="59"/>
    </row>
    <row r="456" spans="1:76" ht="25.5" x14ac:dyDescent="0.25">
      <c r="A456" s="1" t="s">
        <v>720</v>
      </c>
      <c r="B456" s="2" t="s">
        <v>84</v>
      </c>
      <c r="C456" s="2" t="s">
        <v>879</v>
      </c>
      <c r="D456" s="86" t="s">
        <v>880</v>
      </c>
      <c r="E456" s="81"/>
      <c r="F456" s="2" t="s">
        <v>258</v>
      </c>
      <c r="G456" s="34">
        <v>60</v>
      </c>
      <c r="H456" s="64">
        <v>0</v>
      </c>
      <c r="I456" s="34">
        <f>ROUND(G456*H456,2)</f>
        <v>0</v>
      </c>
      <c r="J456" s="65" t="s">
        <v>133</v>
      </c>
      <c r="K456" s="59"/>
      <c r="Z456" s="34">
        <f>ROUND(IF(AQ456="5",BJ456,0),2)</f>
        <v>0</v>
      </c>
      <c r="AB456" s="34">
        <f>ROUND(IF(AQ456="1",BH456,0),2)</f>
        <v>0</v>
      </c>
      <c r="AC456" s="34">
        <f>ROUND(IF(AQ456="1",BI456,0),2)</f>
        <v>0</v>
      </c>
      <c r="AD456" s="34">
        <f>ROUND(IF(AQ456="7",BH456,0),2)</f>
        <v>0</v>
      </c>
      <c r="AE456" s="34">
        <f>ROUND(IF(AQ456="7",BI456,0),2)</f>
        <v>0</v>
      </c>
      <c r="AF456" s="34">
        <f>ROUND(IF(AQ456="2",BH456,0),2)</f>
        <v>0</v>
      </c>
      <c r="AG456" s="34">
        <f>ROUND(IF(AQ456="2",BI456,0),2)</f>
        <v>0</v>
      </c>
      <c r="AH456" s="34">
        <f>ROUND(IF(AQ456="0",BJ456,0),2)</f>
        <v>0</v>
      </c>
      <c r="AI456" s="46" t="s">
        <v>84</v>
      </c>
      <c r="AJ456" s="34">
        <f>IF(AN456=0,I456,0)</f>
        <v>0</v>
      </c>
      <c r="AK456" s="34">
        <f>IF(AN456=12,I456,0)</f>
        <v>0</v>
      </c>
      <c r="AL456" s="34">
        <f>IF(AN456=21,I456,0)</f>
        <v>0</v>
      </c>
      <c r="AN456" s="34">
        <v>21</v>
      </c>
      <c r="AO456" s="34">
        <f>H456*0.85704698</f>
        <v>0</v>
      </c>
      <c r="AP456" s="34">
        <f>H456*(1-0.85704698)</f>
        <v>0</v>
      </c>
      <c r="AQ456" s="65" t="s">
        <v>175</v>
      </c>
      <c r="AV456" s="34">
        <f>ROUND(AW456+AX456,2)</f>
        <v>0</v>
      </c>
      <c r="AW456" s="34">
        <f>ROUND(G456*AO456,2)</f>
        <v>0</v>
      </c>
      <c r="AX456" s="34">
        <f>ROUND(G456*AP456,2)</f>
        <v>0</v>
      </c>
      <c r="AY456" s="65" t="s">
        <v>801</v>
      </c>
      <c r="AZ456" s="65" t="s">
        <v>802</v>
      </c>
      <c r="BA456" s="46" t="s">
        <v>136</v>
      </c>
      <c r="BC456" s="34">
        <f>AW456+AX456</f>
        <v>0</v>
      </c>
      <c r="BD456" s="34">
        <f>H456/(100-BE456)*100</f>
        <v>0</v>
      </c>
      <c r="BE456" s="34">
        <v>0</v>
      </c>
      <c r="BF456" s="34">
        <f>456</f>
        <v>456</v>
      </c>
      <c r="BH456" s="34">
        <f>G456*AO456</f>
        <v>0</v>
      </c>
      <c r="BI456" s="34">
        <f>G456*AP456</f>
        <v>0</v>
      </c>
      <c r="BJ456" s="34">
        <f>G456*H456</f>
        <v>0</v>
      </c>
      <c r="BK456" s="34"/>
      <c r="BL456" s="34">
        <v>711</v>
      </c>
      <c r="BW456" s="34">
        <v>21</v>
      </c>
      <c r="BX456" s="3" t="s">
        <v>880</v>
      </c>
    </row>
    <row r="457" spans="1:76" ht="13.5" customHeight="1" x14ac:dyDescent="0.25">
      <c r="A457" s="66"/>
      <c r="C457" s="69" t="s">
        <v>204</v>
      </c>
      <c r="D457" s="169" t="s">
        <v>881</v>
      </c>
      <c r="E457" s="170"/>
      <c r="F457" s="170"/>
      <c r="G457" s="170"/>
      <c r="H457" s="171"/>
      <c r="I457" s="170"/>
      <c r="J457" s="170"/>
      <c r="K457" s="172"/>
    </row>
    <row r="458" spans="1:76" x14ac:dyDescent="0.25">
      <c r="A458" s="66"/>
      <c r="D458" s="67" t="s">
        <v>882</v>
      </c>
      <c r="E458" s="67" t="s">
        <v>4</v>
      </c>
      <c r="G458" s="68">
        <v>60</v>
      </c>
      <c r="K458" s="59"/>
    </row>
    <row r="459" spans="1:76" x14ac:dyDescent="0.25">
      <c r="A459" s="1" t="s">
        <v>883</v>
      </c>
      <c r="B459" s="2" t="s">
        <v>84</v>
      </c>
      <c r="C459" s="2" t="s">
        <v>884</v>
      </c>
      <c r="D459" s="86" t="s">
        <v>885</v>
      </c>
      <c r="E459" s="81"/>
      <c r="F459" s="2" t="s">
        <v>178</v>
      </c>
      <c r="G459" s="34">
        <v>2.6739600000000001</v>
      </c>
      <c r="H459" s="64">
        <v>0</v>
      </c>
      <c r="I459" s="34">
        <f>ROUND(G459*H459,2)</f>
        <v>0</v>
      </c>
      <c r="J459" s="65" t="s">
        <v>133</v>
      </c>
      <c r="K459" s="59"/>
      <c r="Z459" s="34">
        <f>ROUND(IF(AQ459="5",BJ459,0),2)</f>
        <v>0</v>
      </c>
      <c r="AB459" s="34">
        <f>ROUND(IF(AQ459="1",BH459,0),2)</f>
        <v>0</v>
      </c>
      <c r="AC459" s="34">
        <f>ROUND(IF(AQ459="1",BI459,0),2)</f>
        <v>0</v>
      </c>
      <c r="AD459" s="34">
        <f>ROUND(IF(AQ459="7",BH459,0),2)</f>
        <v>0</v>
      </c>
      <c r="AE459" s="34">
        <f>ROUND(IF(AQ459="7",BI459,0),2)</f>
        <v>0</v>
      </c>
      <c r="AF459" s="34">
        <f>ROUND(IF(AQ459="2",BH459,0),2)</f>
        <v>0</v>
      </c>
      <c r="AG459" s="34">
        <f>ROUND(IF(AQ459="2",BI459,0),2)</f>
        <v>0</v>
      </c>
      <c r="AH459" s="34">
        <f>ROUND(IF(AQ459="0",BJ459,0),2)</f>
        <v>0</v>
      </c>
      <c r="AI459" s="46" t="s">
        <v>84</v>
      </c>
      <c r="AJ459" s="34">
        <f>IF(AN459=0,I459,0)</f>
        <v>0</v>
      </c>
      <c r="AK459" s="34">
        <f>IF(AN459=12,I459,0)</f>
        <v>0</v>
      </c>
      <c r="AL459" s="34">
        <f>IF(AN459=21,I459,0)</f>
        <v>0</v>
      </c>
      <c r="AN459" s="34">
        <v>21</v>
      </c>
      <c r="AO459" s="34">
        <f>H459*0</f>
        <v>0</v>
      </c>
      <c r="AP459" s="34">
        <f>H459*(1-0)</f>
        <v>0</v>
      </c>
      <c r="AQ459" s="65" t="s">
        <v>166</v>
      </c>
      <c r="AV459" s="34">
        <f>ROUND(AW459+AX459,2)</f>
        <v>0</v>
      </c>
      <c r="AW459" s="34">
        <f>ROUND(G459*AO459,2)</f>
        <v>0</v>
      </c>
      <c r="AX459" s="34">
        <f>ROUND(G459*AP459,2)</f>
        <v>0</v>
      </c>
      <c r="AY459" s="65" t="s">
        <v>801</v>
      </c>
      <c r="AZ459" s="65" t="s">
        <v>802</v>
      </c>
      <c r="BA459" s="46" t="s">
        <v>136</v>
      </c>
      <c r="BC459" s="34">
        <f>AW459+AX459</f>
        <v>0</v>
      </c>
      <c r="BD459" s="34">
        <f>H459/(100-BE459)*100</f>
        <v>0</v>
      </c>
      <c r="BE459" s="34">
        <v>0</v>
      </c>
      <c r="BF459" s="34">
        <f>459</f>
        <v>459</v>
      </c>
      <c r="BH459" s="34">
        <f>G459*AO459</f>
        <v>0</v>
      </c>
      <c r="BI459" s="34">
        <f>G459*AP459</f>
        <v>0</v>
      </c>
      <c r="BJ459" s="34">
        <f>G459*H459</f>
        <v>0</v>
      </c>
      <c r="BK459" s="34"/>
      <c r="BL459" s="34">
        <v>711</v>
      </c>
      <c r="BW459" s="34">
        <v>21</v>
      </c>
      <c r="BX459" s="3" t="s">
        <v>885</v>
      </c>
    </row>
    <row r="460" spans="1:76" x14ac:dyDescent="0.25">
      <c r="A460" s="60" t="s">
        <v>4</v>
      </c>
      <c r="B460" s="61" t="s">
        <v>84</v>
      </c>
      <c r="C460" s="61" t="s">
        <v>886</v>
      </c>
      <c r="D460" s="167" t="s">
        <v>887</v>
      </c>
      <c r="E460" s="168"/>
      <c r="F460" s="62" t="s">
        <v>79</v>
      </c>
      <c r="G460" s="62" t="s">
        <v>79</v>
      </c>
      <c r="H460" s="63" t="s">
        <v>79</v>
      </c>
      <c r="I460" s="39">
        <f>SUM(I461:I499)</f>
        <v>0</v>
      </c>
      <c r="J460" s="46" t="s">
        <v>4</v>
      </c>
      <c r="K460" s="59"/>
      <c r="AI460" s="46" t="s">
        <v>84</v>
      </c>
      <c r="AS460" s="39">
        <f>SUM(AJ461:AJ499)</f>
        <v>0</v>
      </c>
      <c r="AT460" s="39">
        <f>SUM(AK461:AK499)</f>
        <v>0</v>
      </c>
      <c r="AU460" s="39">
        <f>SUM(AL461:AL499)</f>
        <v>0</v>
      </c>
    </row>
    <row r="461" spans="1:76" x14ac:dyDescent="0.25">
      <c r="A461" s="1" t="s">
        <v>888</v>
      </c>
      <c r="B461" s="2" t="s">
        <v>84</v>
      </c>
      <c r="C461" s="2" t="s">
        <v>889</v>
      </c>
      <c r="D461" s="86" t="s">
        <v>890</v>
      </c>
      <c r="E461" s="81"/>
      <c r="F461" s="2" t="s">
        <v>132</v>
      </c>
      <c r="G461" s="34">
        <v>152</v>
      </c>
      <c r="H461" s="64">
        <v>0</v>
      </c>
      <c r="I461" s="34">
        <f>ROUND(G461*H461,2)</f>
        <v>0</v>
      </c>
      <c r="J461" s="65" t="s">
        <v>133</v>
      </c>
      <c r="K461" s="59"/>
      <c r="Z461" s="34">
        <f>ROUND(IF(AQ461="5",BJ461,0),2)</f>
        <v>0</v>
      </c>
      <c r="AB461" s="34">
        <f>ROUND(IF(AQ461="1",BH461,0),2)</f>
        <v>0</v>
      </c>
      <c r="AC461" s="34">
        <f>ROUND(IF(AQ461="1",BI461,0),2)</f>
        <v>0</v>
      </c>
      <c r="AD461" s="34">
        <f>ROUND(IF(AQ461="7",BH461,0),2)</f>
        <v>0</v>
      </c>
      <c r="AE461" s="34">
        <f>ROUND(IF(AQ461="7",BI461,0),2)</f>
        <v>0</v>
      </c>
      <c r="AF461" s="34">
        <f>ROUND(IF(AQ461="2",BH461,0),2)</f>
        <v>0</v>
      </c>
      <c r="AG461" s="34">
        <f>ROUND(IF(AQ461="2",BI461,0),2)</f>
        <v>0</v>
      </c>
      <c r="AH461" s="34">
        <f>ROUND(IF(AQ461="0",BJ461,0),2)</f>
        <v>0</v>
      </c>
      <c r="AI461" s="46" t="s">
        <v>84</v>
      </c>
      <c r="AJ461" s="34">
        <f>IF(AN461=0,I461,0)</f>
        <v>0</v>
      </c>
      <c r="AK461" s="34">
        <f>IF(AN461=12,I461,0)</f>
        <v>0</v>
      </c>
      <c r="AL461" s="34">
        <f>IF(AN461=21,I461,0)</f>
        <v>0</v>
      </c>
      <c r="AN461" s="34">
        <v>21</v>
      </c>
      <c r="AO461" s="34">
        <f>H461*0</f>
        <v>0</v>
      </c>
      <c r="AP461" s="34">
        <f>H461*(1-0)</f>
        <v>0</v>
      </c>
      <c r="AQ461" s="65" t="s">
        <v>175</v>
      </c>
      <c r="AV461" s="34">
        <f>ROUND(AW461+AX461,2)</f>
        <v>0</v>
      </c>
      <c r="AW461" s="34">
        <f>ROUND(G461*AO461,2)</f>
        <v>0</v>
      </c>
      <c r="AX461" s="34">
        <f>ROUND(G461*AP461,2)</f>
        <v>0</v>
      </c>
      <c r="AY461" s="65" t="s">
        <v>891</v>
      </c>
      <c r="AZ461" s="65" t="s">
        <v>802</v>
      </c>
      <c r="BA461" s="46" t="s">
        <v>136</v>
      </c>
      <c r="BC461" s="34">
        <f>AW461+AX461</f>
        <v>0</v>
      </c>
      <c r="BD461" s="34">
        <f>H461/(100-BE461)*100</f>
        <v>0</v>
      </c>
      <c r="BE461" s="34">
        <v>0</v>
      </c>
      <c r="BF461" s="34">
        <f>461</f>
        <v>461</v>
      </c>
      <c r="BH461" s="34">
        <f>G461*AO461</f>
        <v>0</v>
      </c>
      <c r="BI461" s="34">
        <f>G461*AP461</f>
        <v>0</v>
      </c>
      <c r="BJ461" s="34">
        <f>G461*H461</f>
        <v>0</v>
      </c>
      <c r="BK461" s="34"/>
      <c r="BL461" s="34">
        <v>712</v>
      </c>
      <c r="BW461" s="34">
        <v>21</v>
      </c>
      <c r="BX461" s="3" t="s">
        <v>890</v>
      </c>
    </row>
    <row r="462" spans="1:76" ht="13.5" customHeight="1" x14ac:dyDescent="0.25">
      <c r="A462" s="66"/>
      <c r="C462" s="69" t="s">
        <v>204</v>
      </c>
      <c r="D462" s="169" t="s">
        <v>892</v>
      </c>
      <c r="E462" s="170"/>
      <c r="F462" s="170"/>
      <c r="G462" s="170"/>
      <c r="H462" s="171"/>
      <c r="I462" s="170"/>
      <c r="J462" s="170"/>
      <c r="K462" s="172"/>
    </row>
    <row r="463" spans="1:76" x14ac:dyDescent="0.25">
      <c r="A463" s="66"/>
      <c r="D463" s="67" t="s">
        <v>893</v>
      </c>
      <c r="E463" s="67" t="s">
        <v>894</v>
      </c>
      <c r="G463" s="68">
        <v>140</v>
      </c>
      <c r="K463" s="59"/>
    </row>
    <row r="464" spans="1:76" x14ac:dyDescent="0.25">
      <c r="A464" s="66"/>
      <c r="D464" s="67" t="s">
        <v>138</v>
      </c>
      <c r="E464" s="67" t="s">
        <v>895</v>
      </c>
      <c r="G464" s="68">
        <v>12</v>
      </c>
      <c r="K464" s="59"/>
    </row>
    <row r="465" spans="1:76" x14ac:dyDescent="0.25">
      <c r="A465" s="1" t="s">
        <v>896</v>
      </c>
      <c r="B465" s="2" t="s">
        <v>84</v>
      </c>
      <c r="C465" s="2" t="s">
        <v>897</v>
      </c>
      <c r="D465" s="86" t="s">
        <v>898</v>
      </c>
      <c r="E465" s="81"/>
      <c r="F465" s="2" t="s">
        <v>132</v>
      </c>
      <c r="G465" s="34">
        <v>5.5</v>
      </c>
      <c r="H465" s="64">
        <v>0</v>
      </c>
      <c r="I465" s="34">
        <f>ROUND(G465*H465,2)</f>
        <v>0</v>
      </c>
      <c r="J465" s="65" t="s">
        <v>133</v>
      </c>
      <c r="K465" s="59"/>
      <c r="Z465" s="34">
        <f>ROUND(IF(AQ465="5",BJ465,0),2)</f>
        <v>0</v>
      </c>
      <c r="AB465" s="34">
        <f>ROUND(IF(AQ465="1",BH465,0),2)</f>
        <v>0</v>
      </c>
      <c r="AC465" s="34">
        <f>ROUND(IF(AQ465="1",BI465,0),2)</f>
        <v>0</v>
      </c>
      <c r="AD465" s="34">
        <f>ROUND(IF(AQ465="7",BH465,0),2)</f>
        <v>0</v>
      </c>
      <c r="AE465" s="34">
        <f>ROUND(IF(AQ465="7",BI465,0),2)</f>
        <v>0</v>
      </c>
      <c r="AF465" s="34">
        <f>ROUND(IF(AQ465="2",BH465,0),2)</f>
        <v>0</v>
      </c>
      <c r="AG465" s="34">
        <f>ROUND(IF(AQ465="2",BI465,0),2)</f>
        <v>0</v>
      </c>
      <c r="AH465" s="34">
        <f>ROUND(IF(AQ465="0",BJ465,0),2)</f>
        <v>0</v>
      </c>
      <c r="AI465" s="46" t="s">
        <v>84</v>
      </c>
      <c r="AJ465" s="34">
        <f>IF(AN465=0,I465,0)</f>
        <v>0</v>
      </c>
      <c r="AK465" s="34">
        <f>IF(AN465=12,I465,0)</f>
        <v>0</v>
      </c>
      <c r="AL465" s="34">
        <f>IF(AN465=21,I465,0)</f>
        <v>0</v>
      </c>
      <c r="AN465" s="34">
        <v>21</v>
      </c>
      <c r="AO465" s="34">
        <f>H465*0</f>
        <v>0</v>
      </c>
      <c r="AP465" s="34">
        <f>H465*(1-0)</f>
        <v>0</v>
      </c>
      <c r="AQ465" s="65" t="s">
        <v>175</v>
      </c>
      <c r="AV465" s="34">
        <f>ROUND(AW465+AX465,2)</f>
        <v>0</v>
      </c>
      <c r="AW465" s="34">
        <f>ROUND(G465*AO465,2)</f>
        <v>0</v>
      </c>
      <c r="AX465" s="34">
        <f>ROUND(G465*AP465,2)</f>
        <v>0</v>
      </c>
      <c r="AY465" s="65" t="s">
        <v>891</v>
      </c>
      <c r="AZ465" s="65" t="s">
        <v>802</v>
      </c>
      <c r="BA465" s="46" t="s">
        <v>136</v>
      </c>
      <c r="BC465" s="34">
        <f>AW465+AX465</f>
        <v>0</v>
      </c>
      <c r="BD465" s="34">
        <f>H465/(100-BE465)*100</f>
        <v>0</v>
      </c>
      <c r="BE465" s="34">
        <v>0</v>
      </c>
      <c r="BF465" s="34">
        <f>465</f>
        <v>465</v>
      </c>
      <c r="BH465" s="34">
        <f>G465*AO465</f>
        <v>0</v>
      </c>
      <c r="BI465" s="34">
        <f>G465*AP465</f>
        <v>0</v>
      </c>
      <c r="BJ465" s="34">
        <f>G465*H465</f>
        <v>0</v>
      </c>
      <c r="BK465" s="34"/>
      <c r="BL465" s="34">
        <v>712</v>
      </c>
      <c r="BW465" s="34">
        <v>21</v>
      </c>
      <c r="BX465" s="3" t="s">
        <v>898</v>
      </c>
    </row>
    <row r="466" spans="1:76" ht="13.5" customHeight="1" x14ac:dyDescent="0.25">
      <c r="A466" s="66"/>
      <c r="C466" s="69" t="s">
        <v>204</v>
      </c>
      <c r="D466" s="169" t="s">
        <v>899</v>
      </c>
      <c r="E466" s="170"/>
      <c r="F466" s="170"/>
      <c r="G466" s="170"/>
      <c r="H466" s="171"/>
      <c r="I466" s="170"/>
      <c r="J466" s="170"/>
      <c r="K466" s="172"/>
    </row>
    <row r="467" spans="1:76" x14ac:dyDescent="0.25">
      <c r="A467" s="66"/>
      <c r="D467" s="67" t="s">
        <v>342</v>
      </c>
      <c r="E467" s="67" t="s">
        <v>900</v>
      </c>
      <c r="G467" s="68">
        <v>3.5</v>
      </c>
      <c r="K467" s="59"/>
    </row>
    <row r="468" spans="1:76" x14ac:dyDescent="0.25">
      <c r="A468" s="66"/>
      <c r="D468" s="67" t="s">
        <v>140</v>
      </c>
      <c r="E468" s="67" t="s">
        <v>901</v>
      </c>
      <c r="G468" s="68">
        <v>2</v>
      </c>
      <c r="K468" s="59"/>
    </row>
    <row r="469" spans="1:76" x14ac:dyDescent="0.25">
      <c r="A469" s="1" t="s">
        <v>722</v>
      </c>
      <c r="B469" s="2" t="s">
        <v>84</v>
      </c>
      <c r="C469" s="2" t="s">
        <v>902</v>
      </c>
      <c r="D469" s="86" t="s">
        <v>903</v>
      </c>
      <c r="E469" s="81"/>
      <c r="F469" s="2" t="s">
        <v>132</v>
      </c>
      <c r="G469" s="34">
        <v>184.5</v>
      </c>
      <c r="H469" s="64">
        <v>0</v>
      </c>
      <c r="I469" s="34">
        <f>ROUND(G469*H469,2)</f>
        <v>0</v>
      </c>
      <c r="J469" s="65" t="s">
        <v>133</v>
      </c>
      <c r="K469" s="59"/>
      <c r="Z469" s="34">
        <f>ROUND(IF(AQ469="5",BJ469,0),2)</f>
        <v>0</v>
      </c>
      <c r="AB469" s="34">
        <f>ROUND(IF(AQ469="1",BH469,0),2)</f>
        <v>0</v>
      </c>
      <c r="AC469" s="34">
        <f>ROUND(IF(AQ469="1",BI469,0),2)</f>
        <v>0</v>
      </c>
      <c r="AD469" s="34">
        <f>ROUND(IF(AQ469="7",BH469,0),2)</f>
        <v>0</v>
      </c>
      <c r="AE469" s="34">
        <f>ROUND(IF(AQ469="7",BI469,0),2)</f>
        <v>0</v>
      </c>
      <c r="AF469" s="34">
        <f>ROUND(IF(AQ469="2",BH469,0),2)</f>
        <v>0</v>
      </c>
      <c r="AG469" s="34">
        <f>ROUND(IF(AQ469="2",BI469,0),2)</f>
        <v>0</v>
      </c>
      <c r="AH469" s="34">
        <f>ROUND(IF(AQ469="0",BJ469,0),2)</f>
        <v>0</v>
      </c>
      <c r="AI469" s="46" t="s">
        <v>84</v>
      </c>
      <c r="AJ469" s="34">
        <f>IF(AN469=0,I469,0)</f>
        <v>0</v>
      </c>
      <c r="AK469" s="34">
        <f>IF(AN469=12,I469,0)</f>
        <v>0</v>
      </c>
      <c r="AL469" s="34">
        <f>IF(AN469=21,I469,0)</f>
        <v>0</v>
      </c>
      <c r="AN469" s="34">
        <v>21</v>
      </c>
      <c r="AO469" s="34">
        <f>H469*0.71862965</f>
        <v>0</v>
      </c>
      <c r="AP469" s="34">
        <f>H469*(1-0.71862965)</f>
        <v>0</v>
      </c>
      <c r="AQ469" s="65" t="s">
        <v>175</v>
      </c>
      <c r="AV469" s="34">
        <f>ROUND(AW469+AX469,2)</f>
        <v>0</v>
      </c>
      <c r="AW469" s="34">
        <f>ROUND(G469*AO469,2)</f>
        <v>0</v>
      </c>
      <c r="AX469" s="34">
        <f>ROUND(G469*AP469,2)</f>
        <v>0</v>
      </c>
      <c r="AY469" s="65" t="s">
        <v>891</v>
      </c>
      <c r="AZ469" s="65" t="s">
        <v>802</v>
      </c>
      <c r="BA469" s="46" t="s">
        <v>136</v>
      </c>
      <c r="BC469" s="34">
        <f>AW469+AX469</f>
        <v>0</v>
      </c>
      <c r="BD469" s="34">
        <f>H469/(100-BE469)*100</f>
        <v>0</v>
      </c>
      <c r="BE469" s="34">
        <v>0</v>
      </c>
      <c r="BF469" s="34">
        <f>469</f>
        <v>469</v>
      </c>
      <c r="BH469" s="34">
        <f>G469*AO469</f>
        <v>0</v>
      </c>
      <c r="BI469" s="34">
        <f>G469*AP469</f>
        <v>0</v>
      </c>
      <c r="BJ469" s="34">
        <f>G469*H469</f>
        <v>0</v>
      </c>
      <c r="BK469" s="34"/>
      <c r="BL469" s="34">
        <v>712</v>
      </c>
      <c r="BW469" s="34">
        <v>21</v>
      </c>
      <c r="BX469" s="3" t="s">
        <v>903</v>
      </c>
    </row>
    <row r="470" spans="1:76" ht="13.5" customHeight="1" x14ac:dyDescent="0.25">
      <c r="A470" s="66"/>
      <c r="C470" s="69" t="s">
        <v>204</v>
      </c>
      <c r="D470" s="169" t="s">
        <v>904</v>
      </c>
      <c r="E470" s="170"/>
      <c r="F470" s="170"/>
      <c r="G470" s="170"/>
      <c r="H470" s="171"/>
      <c r="I470" s="170"/>
      <c r="J470" s="170"/>
      <c r="K470" s="172"/>
    </row>
    <row r="471" spans="1:76" x14ac:dyDescent="0.25">
      <c r="A471" s="66"/>
      <c r="D471" s="67" t="s">
        <v>905</v>
      </c>
      <c r="E471" s="67" t="s">
        <v>906</v>
      </c>
      <c r="G471" s="68">
        <v>184.5</v>
      </c>
      <c r="K471" s="59"/>
    </row>
    <row r="472" spans="1:76" x14ac:dyDescent="0.25">
      <c r="A472" s="1" t="s">
        <v>907</v>
      </c>
      <c r="B472" s="2" t="s">
        <v>84</v>
      </c>
      <c r="C472" s="2" t="s">
        <v>908</v>
      </c>
      <c r="D472" s="86" t="s">
        <v>909</v>
      </c>
      <c r="E472" s="81"/>
      <c r="F472" s="2" t="s">
        <v>132</v>
      </c>
      <c r="G472" s="34">
        <v>202.95</v>
      </c>
      <c r="H472" s="64">
        <v>0</v>
      </c>
      <c r="I472" s="34">
        <f>ROUND(G472*H472,2)</f>
        <v>0</v>
      </c>
      <c r="J472" s="65" t="s">
        <v>133</v>
      </c>
      <c r="K472" s="59"/>
      <c r="Z472" s="34">
        <f>ROUND(IF(AQ472="5",BJ472,0),2)</f>
        <v>0</v>
      </c>
      <c r="AB472" s="34">
        <f>ROUND(IF(AQ472="1",BH472,0),2)</f>
        <v>0</v>
      </c>
      <c r="AC472" s="34">
        <f>ROUND(IF(AQ472="1",BI472,0),2)</f>
        <v>0</v>
      </c>
      <c r="AD472" s="34">
        <f>ROUND(IF(AQ472="7",BH472,0),2)</f>
        <v>0</v>
      </c>
      <c r="AE472" s="34">
        <f>ROUND(IF(AQ472="7",BI472,0),2)</f>
        <v>0</v>
      </c>
      <c r="AF472" s="34">
        <f>ROUND(IF(AQ472="2",BH472,0),2)</f>
        <v>0</v>
      </c>
      <c r="AG472" s="34">
        <f>ROUND(IF(AQ472="2",BI472,0),2)</f>
        <v>0</v>
      </c>
      <c r="AH472" s="34">
        <f>ROUND(IF(AQ472="0",BJ472,0),2)</f>
        <v>0</v>
      </c>
      <c r="AI472" s="46" t="s">
        <v>84</v>
      </c>
      <c r="AJ472" s="34">
        <f>IF(AN472=0,I472,0)</f>
        <v>0</v>
      </c>
      <c r="AK472" s="34">
        <f>IF(AN472=12,I472,0)</f>
        <v>0</v>
      </c>
      <c r="AL472" s="34">
        <f>IF(AN472=21,I472,0)</f>
        <v>0</v>
      </c>
      <c r="AN472" s="34">
        <v>21</v>
      </c>
      <c r="AO472" s="34">
        <f>H472*0.499389831</f>
        <v>0</v>
      </c>
      <c r="AP472" s="34">
        <f>H472*(1-0.499389831)</f>
        <v>0</v>
      </c>
      <c r="AQ472" s="65" t="s">
        <v>175</v>
      </c>
      <c r="AV472" s="34">
        <f>ROUND(AW472+AX472,2)</f>
        <v>0</v>
      </c>
      <c r="AW472" s="34">
        <f>ROUND(G472*AO472,2)</f>
        <v>0</v>
      </c>
      <c r="AX472" s="34">
        <f>ROUND(G472*AP472,2)</f>
        <v>0</v>
      </c>
      <c r="AY472" s="65" t="s">
        <v>891</v>
      </c>
      <c r="AZ472" s="65" t="s">
        <v>802</v>
      </c>
      <c r="BA472" s="46" t="s">
        <v>136</v>
      </c>
      <c r="BC472" s="34">
        <f>AW472+AX472</f>
        <v>0</v>
      </c>
      <c r="BD472" s="34">
        <f>H472/(100-BE472)*100</f>
        <v>0</v>
      </c>
      <c r="BE472" s="34">
        <v>0</v>
      </c>
      <c r="BF472" s="34">
        <f>472</f>
        <v>472</v>
      </c>
      <c r="BH472" s="34">
        <f>G472*AO472</f>
        <v>0</v>
      </c>
      <c r="BI472" s="34">
        <f>G472*AP472</f>
        <v>0</v>
      </c>
      <c r="BJ472" s="34">
        <f>G472*H472</f>
        <v>0</v>
      </c>
      <c r="BK472" s="34"/>
      <c r="BL472" s="34">
        <v>712</v>
      </c>
      <c r="BW472" s="34">
        <v>21</v>
      </c>
      <c r="BX472" s="3" t="s">
        <v>909</v>
      </c>
    </row>
    <row r="473" spans="1:76" ht="13.5" customHeight="1" x14ac:dyDescent="0.25">
      <c r="A473" s="66"/>
      <c r="C473" s="69" t="s">
        <v>204</v>
      </c>
      <c r="D473" s="169" t="s">
        <v>910</v>
      </c>
      <c r="E473" s="170"/>
      <c r="F473" s="170"/>
      <c r="G473" s="170"/>
      <c r="H473" s="171"/>
      <c r="I473" s="170"/>
      <c r="J473" s="170"/>
      <c r="K473" s="172"/>
    </row>
    <row r="474" spans="1:76" x14ac:dyDescent="0.25">
      <c r="A474" s="66"/>
      <c r="D474" s="67" t="s">
        <v>911</v>
      </c>
      <c r="E474" s="67" t="s">
        <v>912</v>
      </c>
      <c r="G474" s="68">
        <v>202.95</v>
      </c>
      <c r="K474" s="59"/>
    </row>
    <row r="475" spans="1:76" x14ac:dyDescent="0.25">
      <c r="A475" s="1" t="s">
        <v>913</v>
      </c>
      <c r="B475" s="2" t="s">
        <v>84</v>
      </c>
      <c r="C475" s="2" t="s">
        <v>914</v>
      </c>
      <c r="D475" s="86" t="s">
        <v>915</v>
      </c>
      <c r="E475" s="81"/>
      <c r="F475" s="2" t="s">
        <v>132</v>
      </c>
      <c r="G475" s="34">
        <v>196.56</v>
      </c>
      <c r="H475" s="64">
        <v>0</v>
      </c>
      <c r="I475" s="34">
        <f>ROUND(G475*H475,2)</f>
        <v>0</v>
      </c>
      <c r="J475" s="65" t="s">
        <v>133</v>
      </c>
      <c r="K475" s="59"/>
      <c r="Z475" s="34">
        <f>ROUND(IF(AQ475="5",BJ475,0),2)</f>
        <v>0</v>
      </c>
      <c r="AB475" s="34">
        <f>ROUND(IF(AQ475="1",BH475,0),2)</f>
        <v>0</v>
      </c>
      <c r="AC475" s="34">
        <f>ROUND(IF(AQ475="1",BI475,0),2)</f>
        <v>0</v>
      </c>
      <c r="AD475" s="34">
        <f>ROUND(IF(AQ475="7",BH475,0),2)</f>
        <v>0</v>
      </c>
      <c r="AE475" s="34">
        <f>ROUND(IF(AQ475="7",BI475,0),2)</f>
        <v>0</v>
      </c>
      <c r="AF475" s="34">
        <f>ROUND(IF(AQ475="2",BH475,0),2)</f>
        <v>0</v>
      </c>
      <c r="AG475" s="34">
        <f>ROUND(IF(AQ475="2",BI475,0),2)</f>
        <v>0</v>
      </c>
      <c r="AH475" s="34">
        <f>ROUND(IF(AQ475="0",BJ475,0),2)</f>
        <v>0</v>
      </c>
      <c r="AI475" s="46" t="s">
        <v>84</v>
      </c>
      <c r="AJ475" s="34">
        <f>IF(AN475=0,I475,0)</f>
        <v>0</v>
      </c>
      <c r="AK475" s="34">
        <f>IF(AN475=12,I475,0)</f>
        <v>0</v>
      </c>
      <c r="AL475" s="34">
        <f>IF(AN475=21,I475,0)</f>
        <v>0</v>
      </c>
      <c r="AN475" s="34">
        <v>21</v>
      </c>
      <c r="AO475" s="34">
        <f>H475*0.257642686</f>
        <v>0</v>
      </c>
      <c r="AP475" s="34">
        <f>H475*(1-0.257642686)</f>
        <v>0</v>
      </c>
      <c r="AQ475" s="65" t="s">
        <v>175</v>
      </c>
      <c r="AV475" s="34">
        <f>ROUND(AW475+AX475,2)</f>
        <v>0</v>
      </c>
      <c r="AW475" s="34">
        <f>ROUND(G475*AO475,2)</f>
        <v>0</v>
      </c>
      <c r="AX475" s="34">
        <f>ROUND(G475*AP475,2)</f>
        <v>0</v>
      </c>
      <c r="AY475" s="65" t="s">
        <v>891</v>
      </c>
      <c r="AZ475" s="65" t="s">
        <v>802</v>
      </c>
      <c r="BA475" s="46" t="s">
        <v>136</v>
      </c>
      <c r="BC475" s="34">
        <f>AW475+AX475</f>
        <v>0</v>
      </c>
      <c r="BD475" s="34">
        <f>H475/(100-BE475)*100</f>
        <v>0</v>
      </c>
      <c r="BE475" s="34">
        <v>0</v>
      </c>
      <c r="BF475" s="34">
        <f>475</f>
        <v>475</v>
      </c>
      <c r="BH475" s="34">
        <f>G475*AO475</f>
        <v>0</v>
      </c>
      <c r="BI475" s="34">
        <f>G475*AP475</f>
        <v>0</v>
      </c>
      <c r="BJ475" s="34">
        <f>G475*H475</f>
        <v>0</v>
      </c>
      <c r="BK475" s="34"/>
      <c r="BL475" s="34">
        <v>712</v>
      </c>
      <c r="BW475" s="34">
        <v>21</v>
      </c>
      <c r="BX475" s="3" t="s">
        <v>915</v>
      </c>
    </row>
    <row r="476" spans="1:76" ht="13.5" customHeight="1" x14ac:dyDescent="0.25">
      <c r="A476" s="66"/>
      <c r="C476" s="69" t="s">
        <v>204</v>
      </c>
      <c r="D476" s="169" t="s">
        <v>916</v>
      </c>
      <c r="E476" s="170"/>
      <c r="F476" s="170"/>
      <c r="G476" s="170"/>
      <c r="H476" s="171"/>
      <c r="I476" s="170"/>
      <c r="J476" s="170"/>
      <c r="K476" s="172"/>
    </row>
    <row r="477" spans="1:76" x14ac:dyDescent="0.25">
      <c r="A477" s="66"/>
      <c r="D477" s="67" t="s">
        <v>917</v>
      </c>
      <c r="E477" s="67" t="s">
        <v>4</v>
      </c>
      <c r="G477" s="68">
        <v>196.56</v>
      </c>
      <c r="K477" s="59"/>
    </row>
    <row r="478" spans="1:76" ht="25.5" x14ac:dyDescent="0.25">
      <c r="A478" s="1" t="s">
        <v>918</v>
      </c>
      <c r="B478" s="2" t="s">
        <v>84</v>
      </c>
      <c r="C478" s="2" t="s">
        <v>919</v>
      </c>
      <c r="D478" s="86" t="s">
        <v>920</v>
      </c>
      <c r="E478" s="81"/>
      <c r="F478" s="2" t="s">
        <v>132</v>
      </c>
      <c r="G478" s="34">
        <v>187.2</v>
      </c>
      <c r="H478" s="64">
        <v>0</v>
      </c>
      <c r="I478" s="34">
        <f>ROUND(G478*H478,2)</f>
        <v>0</v>
      </c>
      <c r="J478" s="65" t="s">
        <v>133</v>
      </c>
      <c r="K478" s="59"/>
      <c r="Z478" s="34">
        <f>ROUND(IF(AQ478="5",BJ478,0),2)</f>
        <v>0</v>
      </c>
      <c r="AB478" s="34">
        <f>ROUND(IF(AQ478="1",BH478,0),2)</f>
        <v>0</v>
      </c>
      <c r="AC478" s="34">
        <f>ROUND(IF(AQ478="1",BI478,0),2)</f>
        <v>0</v>
      </c>
      <c r="AD478" s="34">
        <f>ROUND(IF(AQ478="7",BH478,0),2)</f>
        <v>0</v>
      </c>
      <c r="AE478" s="34">
        <f>ROUND(IF(AQ478="7",BI478,0),2)</f>
        <v>0</v>
      </c>
      <c r="AF478" s="34">
        <f>ROUND(IF(AQ478="2",BH478,0),2)</f>
        <v>0</v>
      </c>
      <c r="AG478" s="34">
        <f>ROUND(IF(AQ478="2",BI478,0),2)</f>
        <v>0</v>
      </c>
      <c r="AH478" s="34">
        <f>ROUND(IF(AQ478="0",BJ478,0),2)</f>
        <v>0</v>
      </c>
      <c r="AI478" s="46" t="s">
        <v>84</v>
      </c>
      <c r="AJ478" s="34">
        <f>IF(AN478=0,I478,0)</f>
        <v>0</v>
      </c>
      <c r="AK478" s="34">
        <f>IF(AN478=12,I478,0)</f>
        <v>0</v>
      </c>
      <c r="AL478" s="34">
        <f>IF(AN478=21,I478,0)</f>
        <v>0</v>
      </c>
      <c r="AN478" s="34">
        <v>21</v>
      </c>
      <c r="AO478" s="34">
        <f>H478*0.448910409</f>
        <v>0</v>
      </c>
      <c r="AP478" s="34">
        <f>H478*(1-0.448910409)</f>
        <v>0</v>
      </c>
      <c r="AQ478" s="65" t="s">
        <v>175</v>
      </c>
      <c r="AV478" s="34">
        <f>ROUND(AW478+AX478,2)</f>
        <v>0</v>
      </c>
      <c r="AW478" s="34">
        <f>ROUND(G478*AO478,2)</f>
        <v>0</v>
      </c>
      <c r="AX478" s="34">
        <f>ROUND(G478*AP478,2)</f>
        <v>0</v>
      </c>
      <c r="AY478" s="65" t="s">
        <v>891</v>
      </c>
      <c r="AZ478" s="65" t="s">
        <v>802</v>
      </c>
      <c r="BA478" s="46" t="s">
        <v>136</v>
      </c>
      <c r="BC478" s="34">
        <f>AW478+AX478</f>
        <v>0</v>
      </c>
      <c r="BD478" s="34">
        <f>H478/(100-BE478)*100</f>
        <v>0</v>
      </c>
      <c r="BE478" s="34">
        <v>0</v>
      </c>
      <c r="BF478" s="34">
        <f>478</f>
        <v>478</v>
      </c>
      <c r="BH478" s="34">
        <f>G478*AO478</f>
        <v>0</v>
      </c>
      <c r="BI478" s="34">
        <f>G478*AP478</f>
        <v>0</v>
      </c>
      <c r="BJ478" s="34">
        <f>G478*H478</f>
        <v>0</v>
      </c>
      <c r="BK478" s="34"/>
      <c r="BL478" s="34">
        <v>712</v>
      </c>
      <c r="BW478" s="34">
        <v>21</v>
      </c>
      <c r="BX478" s="3" t="s">
        <v>920</v>
      </c>
    </row>
    <row r="479" spans="1:76" ht="13.5" customHeight="1" x14ac:dyDescent="0.25">
      <c r="A479" s="66"/>
      <c r="C479" s="69" t="s">
        <v>204</v>
      </c>
      <c r="D479" s="169" t="s">
        <v>921</v>
      </c>
      <c r="E479" s="170"/>
      <c r="F479" s="170"/>
      <c r="G479" s="170"/>
      <c r="H479" s="171"/>
      <c r="I479" s="170"/>
      <c r="J479" s="170"/>
      <c r="K479" s="172"/>
    </row>
    <row r="480" spans="1:76" x14ac:dyDescent="0.25">
      <c r="A480" s="66"/>
      <c r="D480" s="67" t="s">
        <v>922</v>
      </c>
      <c r="E480" s="67" t="s">
        <v>923</v>
      </c>
      <c r="G480" s="68">
        <v>187.2</v>
      </c>
      <c r="K480" s="59"/>
    </row>
    <row r="481" spans="1:76" x14ac:dyDescent="0.25">
      <c r="A481" s="1" t="s">
        <v>924</v>
      </c>
      <c r="B481" s="2" t="s">
        <v>84</v>
      </c>
      <c r="C481" s="2" t="s">
        <v>925</v>
      </c>
      <c r="D481" s="86" t="s">
        <v>926</v>
      </c>
      <c r="E481" s="81"/>
      <c r="F481" s="2" t="s">
        <v>239</v>
      </c>
      <c r="G481" s="34">
        <v>47.9</v>
      </c>
      <c r="H481" s="64">
        <v>0</v>
      </c>
      <c r="I481" s="34">
        <f>ROUND(G481*H481,2)</f>
        <v>0</v>
      </c>
      <c r="J481" s="65" t="s">
        <v>133</v>
      </c>
      <c r="K481" s="59"/>
      <c r="Z481" s="34">
        <f>ROUND(IF(AQ481="5",BJ481,0),2)</f>
        <v>0</v>
      </c>
      <c r="AB481" s="34">
        <f>ROUND(IF(AQ481="1",BH481,0),2)</f>
        <v>0</v>
      </c>
      <c r="AC481" s="34">
        <f>ROUND(IF(AQ481="1",BI481,0),2)</f>
        <v>0</v>
      </c>
      <c r="AD481" s="34">
        <f>ROUND(IF(AQ481="7",BH481,0),2)</f>
        <v>0</v>
      </c>
      <c r="AE481" s="34">
        <f>ROUND(IF(AQ481="7",BI481,0),2)</f>
        <v>0</v>
      </c>
      <c r="AF481" s="34">
        <f>ROUND(IF(AQ481="2",BH481,0),2)</f>
        <v>0</v>
      </c>
      <c r="AG481" s="34">
        <f>ROUND(IF(AQ481="2",BI481,0),2)</f>
        <v>0</v>
      </c>
      <c r="AH481" s="34">
        <f>ROUND(IF(AQ481="0",BJ481,0),2)</f>
        <v>0</v>
      </c>
      <c r="AI481" s="46" t="s">
        <v>84</v>
      </c>
      <c r="AJ481" s="34">
        <f>IF(AN481=0,I481,0)</f>
        <v>0</v>
      </c>
      <c r="AK481" s="34">
        <f>IF(AN481=12,I481,0)</f>
        <v>0</v>
      </c>
      <c r="AL481" s="34">
        <f>IF(AN481=21,I481,0)</f>
        <v>0</v>
      </c>
      <c r="AN481" s="34">
        <v>21</v>
      </c>
      <c r="AO481" s="34">
        <f>H481*0.628690517</f>
        <v>0</v>
      </c>
      <c r="AP481" s="34">
        <f>H481*(1-0.628690517)</f>
        <v>0</v>
      </c>
      <c r="AQ481" s="65" t="s">
        <v>175</v>
      </c>
      <c r="AV481" s="34">
        <f>ROUND(AW481+AX481,2)</f>
        <v>0</v>
      </c>
      <c r="AW481" s="34">
        <f>ROUND(G481*AO481,2)</f>
        <v>0</v>
      </c>
      <c r="AX481" s="34">
        <f>ROUND(G481*AP481,2)</f>
        <v>0</v>
      </c>
      <c r="AY481" s="65" t="s">
        <v>891</v>
      </c>
      <c r="AZ481" s="65" t="s">
        <v>802</v>
      </c>
      <c r="BA481" s="46" t="s">
        <v>136</v>
      </c>
      <c r="BC481" s="34">
        <f>AW481+AX481</f>
        <v>0</v>
      </c>
      <c r="BD481" s="34">
        <f>H481/(100-BE481)*100</f>
        <v>0</v>
      </c>
      <c r="BE481" s="34">
        <v>0</v>
      </c>
      <c r="BF481" s="34">
        <f>481</f>
        <v>481</v>
      </c>
      <c r="BH481" s="34">
        <f>G481*AO481</f>
        <v>0</v>
      </c>
      <c r="BI481" s="34">
        <f>G481*AP481</f>
        <v>0</v>
      </c>
      <c r="BJ481" s="34">
        <f>G481*H481</f>
        <v>0</v>
      </c>
      <c r="BK481" s="34"/>
      <c r="BL481" s="34">
        <v>712</v>
      </c>
      <c r="BW481" s="34">
        <v>21</v>
      </c>
      <c r="BX481" s="3" t="s">
        <v>926</v>
      </c>
    </row>
    <row r="482" spans="1:76" x14ac:dyDescent="0.25">
      <c r="A482" s="66"/>
      <c r="D482" s="67" t="s">
        <v>927</v>
      </c>
      <c r="E482" s="67" t="s">
        <v>928</v>
      </c>
      <c r="G482" s="68">
        <v>47.9</v>
      </c>
      <c r="K482" s="59"/>
    </row>
    <row r="483" spans="1:76" x14ac:dyDescent="0.25">
      <c r="A483" s="1" t="s">
        <v>929</v>
      </c>
      <c r="B483" s="2" t="s">
        <v>84</v>
      </c>
      <c r="C483" s="2" t="s">
        <v>930</v>
      </c>
      <c r="D483" s="86" t="s">
        <v>931</v>
      </c>
      <c r="E483" s="81"/>
      <c r="F483" s="2" t="s">
        <v>239</v>
      </c>
      <c r="G483" s="34">
        <v>50</v>
      </c>
      <c r="H483" s="64">
        <v>0</v>
      </c>
      <c r="I483" s="34">
        <f>ROUND(G483*H483,2)</f>
        <v>0</v>
      </c>
      <c r="J483" s="65" t="s">
        <v>133</v>
      </c>
      <c r="K483" s="59"/>
      <c r="Z483" s="34">
        <f>ROUND(IF(AQ483="5",BJ483,0),2)</f>
        <v>0</v>
      </c>
      <c r="AB483" s="34">
        <f>ROUND(IF(AQ483="1",BH483,0),2)</f>
        <v>0</v>
      </c>
      <c r="AC483" s="34">
        <f>ROUND(IF(AQ483="1",BI483,0),2)</f>
        <v>0</v>
      </c>
      <c r="AD483" s="34">
        <f>ROUND(IF(AQ483="7",BH483,0),2)</f>
        <v>0</v>
      </c>
      <c r="AE483" s="34">
        <f>ROUND(IF(AQ483="7",BI483,0),2)</f>
        <v>0</v>
      </c>
      <c r="AF483" s="34">
        <f>ROUND(IF(AQ483="2",BH483,0),2)</f>
        <v>0</v>
      </c>
      <c r="AG483" s="34">
        <f>ROUND(IF(AQ483="2",BI483,0),2)</f>
        <v>0</v>
      </c>
      <c r="AH483" s="34">
        <f>ROUND(IF(AQ483="0",BJ483,0),2)</f>
        <v>0</v>
      </c>
      <c r="AI483" s="46" t="s">
        <v>84</v>
      </c>
      <c r="AJ483" s="34">
        <f>IF(AN483=0,I483,0)</f>
        <v>0</v>
      </c>
      <c r="AK483" s="34">
        <f>IF(AN483=12,I483,0)</f>
        <v>0</v>
      </c>
      <c r="AL483" s="34">
        <f>IF(AN483=21,I483,0)</f>
        <v>0</v>
      </c>
      <c r="AN483" s="34">
        <v>21</v>
      </c>
      <c r="AO483" s="34">
        <f>H483*0.479804321</f>
        <v>0</v>
      </c>
      <c r="AP483" s="34">
        <f>H483*(1-0.479804321)</f>
        <v>0</v>
      </c>
      <c r="AQ483" s="65" t="s">
        <v>175</v>
      </c>
      <c r="AV483" s="34">
        <f>ROUND(AW483+AX483,2)</f>
        <v>0</v>
      </c>
      <c r="AW483" s="34">
        <f>ROUND(G483*AO483,2)</f>
        <v>0</v>
      </c>
      <c r="AX483" s="34">
        <f>ROUND(G483*AP483,2)</f>
        <v>0</v>
      </c>
      <c r="AY483" s="65" t="s">
        <v>891</v>
      </c>
      <c r="AZ483" s="65" t="s">
        <v>802</v>
      </c>
      <c r="BA483" s="46" t="s">
        <v>136</v>
      </c>
      <c r="BC483" s="34">
        <f>AW483+AX483</f>
        <v>0</v>
      </c>
      <c r="BD483" s="34">
        <f>H483/(100-BE483)*100</f>
        <v>0</v>
      </c>
      <c r="BE483" s="34">
        <v>0</v>
      </c>
      <c r="BF483" s="34">
        <f>483</f>
        <v>483</v>
      </c>
      <c r="BH483" s="34">
        <f>G483*AO483</f>
        <v>0</v>
      </c>
      <c r="BI483" s="34">
        <f>G483*AP483</f>
        <v>0</v>
      </c>
      <c r="BJ483" s="34">
        <f>G483*H483</f>
        <v>0</v>
      </c>
      <c r="BK483" s="34"/>
      <c r="BL483" s="34">
        <v>712</v>
      </c>
      <c r="BW483" s="34">
        <v>21</v>
      </c>
      <c r="BX483" s="3" t="s">
        <v>931</v>
      </c>
    </row>
    <row r="484" spans="1:76" x14ac:dyDescent="0.25">
      <c r="A484" s="66"/>
      <c r="D484" s="67" t="s">
        <v>503</v>
      </c>
      <c r="E484" s="67" t="s">
        <v>932</v>
      </c>
      <c r="G484" s="68">
        <v>50</v>
      </c>
      <c r="K484" s="59"/>
    </row>
    <row r="485" spans="1:76" x14ac:dyDescent="0.25">
      <c r="A485" s="1" t="s">
        <v>933</v>
      </c>
      <c r="B485" s="2" t="s">
        <v>84</v>
      </c>
      <c r="C485" s="2" t="s">
        <v>934</v>
      </c>
      <c r="D485" s="86" t="s">
        <v>935</v>
      </c>
      <c r="E485" s="81"/>
      <c r="F485" s="2" t="s">
        <v>239</v>
      </c>
      <c r="G485" s="34">
        <v>75.400000000000006</v>
      </c>
      <c r="H485" s="64">
        <v>0</v>
      </c>
      <c r="I485" s="34">
        <f>ROUND(G485*H485,2)</f>
        <v>0</v>
      </c>
      <c r="J485" s="65" t="s">
        <v>133</v>
      </c>
      <c r="K485" s="59"/>
      <c r="Z485" s="34">
        <f>ROUND(IF(AQ485="5",BJ485,0),2)</f>
        <v>0</v>
      </c>
      <c r="AB485" s="34">
        <f>ROUND(IF(AQ485="1",BH485,0),2)</f>
        <v>0</v>
      </c>
      <c r="AC485" s="34">
        <f>ROUND(IF(AQ485="1",BI485,0),2)</f>
        <v>0</v>
      </c>
      <c r="AD485" s="34">
        <f>ROUND(IF(AQ485="7",BH485,0),2)</f>
        <v>0</v>
      </c>
      <c r="AE485" s="34">
        <f>ROUND(IF(AQ485="7",BI485,0),2)</f>
        <v>0</v>
      </c>
      <c r="AF485" s="34">
        <f>ROUND(IF(AQ485="2",BH485,0),2)</f>
        <v>0</v>
      </c>
      <c r="AG485" s="34">
        <f>ROUND(IF(AQ485="2",BI485,0),2)</f>
        <v>0</v>
      </c>
      <c r="AH485" s="34">
        <f>ROUND(IF(AQ485="0",BJ485,0),2)</f>
        <v>0</v>
      </c>
      <c r="AI485" s="46" t="s">
        <v>84</v>
      </c>
      <c r="AJ485" s="34">
        <f>IF(AN485=0,I485,0)</f>
        <v>0</v>
      </c>
      <c r="AK485" s="34">
        <f>IF(AN485=12,I485,0)</f>
        <v>0</v>
      </c>
      <c r="AL485" s="34">
        <f>IF(AN485=21,I485,0)</f>
        <v>0</v>
      </c>
      <c r="AN485" s="34">
        <v>21</v>
      </c>
      <c r="AO485" s="34">
        <f>H485*0.429177719</f>
        <v>0</v>
      </c>
      <c r="AP485" s="34">
        <f>H485*(1-0.429177719)</f>
        <v>0</v>
      </c>
      <c r="AQ485" s="65" t="s">
        <v>175</v>
      </c>
      <c r="AV485" s="34">
        <f>ROUND(AW485+AX485,2)</f>
        <v>0</v>
      </c>
      <c r="AW485" s="34">
        <f>ROUND(G485*AO485,2)</f>
        <v>0</v>
      </c>
      <c r="AX485" s="34">
        <f>ROUND(G485*AP485,2)</f>
        <v>0</v>
      </c>
      <c r="AY485" s="65" t="s">
        <v>891</v>
      </c>
      <c r="AZ485" s="65" t="s">
        <v>802</v>
      </c>
      <c r="BA485" s="46" t="s">
        <v>136</v>
      </c>
      <c r="BC485" s="34">
        <f>AW485+AX485</f>
        <v>0</v>
      </c>
      <c r="BD485" s="34">
        <f>H485/(100-BE485)*100</f>
        <v>0</v>
      </c>
      <c r="BE485" s="34">
        <v>0</v>
      </c>
      <c r="BF485" s="34">
        <f>485</f>
        <v>485</v>
      </c>
      <c r="BH485" s="34">
        <f>G485*AO485</f>
        <v>0</v>
      </c>
      <c r="BI485" s="34">
        <f>G485*AP485</f>
        <v>0</v>
      </c>
      <c r="BJ485" s="34">
        <f>G485*H485</f>
        <v>0</v>
      </c>
      <c r="BK485" s="34"/>
      <c r="BL485" s="34">
        <v>712</v>
      </c>
      <c r="BW485" s="34">
        <v>21</v>
      </c>
      <c r="BX485" s="3" t="s">
        <v>935</v>
      </c>
    </row>
    <row r="486" spans="1:76" x14ac:dyDescent="0.25">
      <c r="A486" s="66"/>
      <c r="D486" s="67" t="s">
        <v>936</v>
      </c>
      <c r="E486" s="67" t="s">
        <v>937</v>
      </c>
      <c r="G486" s="68">
        <v>75.400000000000006</v>
      </c>
      <c r="K486" s="59"/>
    </row>
    <row r="487" spans="1:76" x14ac:dyDescent="0.25">
      <c r="A487" s="1" t="s">
        <v>938</v>
      </c>
      <c r="B487" s="2" t="s">
        <v>84</v>
      </c>
      <c r="C487" s="2" t="s">
        <v>930</v>
      </c>
      <c r="D487" s="86" t="s">
        <v>931</v>
      </c>
      <c r="E487" s="81"/>
      <c r="F487" s="2" t="s">
        <v>239</v>
      </c>
      <c r="G487" s="34">
        <v>48.8</v>
      </c>
      <c r="H487" s="64">
        <v>0</v>
      </c>
      <c r="I487" s="34">
        <f>ROUND(G487*H487,2)</f>
        <v>0</v>
      </c>
      <c r="J487" s="65" t="s">
        <v>133</v>
      </c>
      <c r="K487" s="59"/>
      <c r="Z487" s="34">
        <f>ROUND(IF(AQ487="5",BJ487,0),2)</f>
        <v>0</v>
      </c>
      <c r="AB487" s="34">
        <f>ROUND(IF(AQ487="1",BH487,0),2)</f>
        <v>0</v>
      </c>
      <c r="AC487" s="34">
        <f>ROUND(IF(AQ487="1",BI487,0),2)</f>
        <v>0</v>
      </c>
      <c r="AD487" s="34">
        <f>ROUND(IF(AQ487="7",BH487,0),2)</f>
        <v>0</v>
      </c>
      <c r="AE487" s="34">
        <f>ROUND(IF(AQ487="7",BI487,0),2)</f>
        <v>0</v>
      </c>
      <c r="AF487" s="34">
        <f>ROUND(IF(AQ487="2",BH487,0),2)</f>
        <v>0</v>
      </c>
      <c r="AG487" s="34">
        <f>ROUND(IF(AQ487="2",BI487,0),2)</f>
        <v>0</v>
      </c>
      <c r="AH487" s="34">
        <f>ROUND(IF(AQ487="0",BJ487,0),2)</f>
        <v>0</v>
      </c>
      <c r="AI487" s="46" t="s">
        <v>84</v>
      </c>
      <c r="AJ487" s="34">
        <f>IF(AN487=0,I487,0)</f>
        <v>0</v>
      </c>
      <c r="AK487" s="34">
        <f>IF(AN487=12,I487,0)</f>
        <v>0</v>
      </c>
      <c r="AL487" s="34">
        <f>IF(AN487=21,I487,0)</f>
        <v>0</v>
      </c>
      <c r="AN487" s="34">
        <v>21</v>
      </c>
      <c r="AO487" s="34">
        <f>H487*0.479804051</f>
        <v>0</v>
      </c>
      <c r="AP487" s="34">
        <f>H487*(1-0.479804051)</f>
        <v>0</v>
      </c>
      <c r="AQ487" s="65" t="s">
        <v>175</v>
      </c>
      <c r="AV487" s="34">
        <f>ROUND(AW487+AX487,2)</f>
        <v>0</v>
      </c>
      <c r="AW487" s="34">
        <f>ROUND(G487*AO487,2)</f>
        <v>0</v>
      </c>
      <c r="AX487" s="34">
        <f>ROUND(G487*AP487,2)</f>
        <v>0</v>
      </c>
      <c r="AY487" s="65" t="s">
        <v>891</v>
      </c>
      <c r="AZ487" s="65" t="s">
        <v>802</v>
      </c>
      <c r="BA487" s="46" t="s">
        <v>136</v>
      </c>
      <c r="BC487" s="34">
        <f>AW487+AX487</f>
        <v>0</v>
      </c>
      <c r="BD487" s="34">
        <f>H487/(100-BE487)*100</f>
        <v>0</v>
      </c>
      <c r="BE487" s="34">
        <v>0</v>
      </c>
      <c r="BF487" s="34">
        <f>487</f>
        <v>487</v>
      </c>
      <c r="BH487" s="34">
        <f>G487*AO487</f>
        <v>0</v>
      </c>
      <c r="BI487" s="34">
        <f>G487*AP487</f>
        <v>0</v>
      </c>
      <c r="BJ487" s="34">
        <f>G487*H487</f>
        <v>0</v>
      </c>
      <c r="BK487" s="34"/>
      <c r="BL487" s="34">
        <v>712</v>
      </c>
      <c r="BW487" s="34">
        <v>21</v>
      </c>
      <c r="BX487" s="3" t="s">
        <v>931</v>
      </c>
    </row>
    <row r="488" spans="1:76" x14ac:dyDescent="0.25">
      <c r="A488" s="66"/>
      <c r="D488" s="67" t="s">
        <v>939</v>
      </c>
      <c r="E488" s="67" t="s">
        <v>940</v>
      </c>
      <c r="G488" s="68">
        <v>48.8</v>
      </c>
      <c r="K488" s="59"/>
    </row>
    <row r="489" spans="1:76" x14ac:dyDescent="0.25">
      <c r="A489" s="1" t="s">
        <v>941</v>
      </c>
      <c r="B489" s="2" t="s">
        <v>84</v>
      </c>
      <c r="C489" s="2" t="s">
        <v>942</v>
      </c>
      <c r="D489" s="86" t="s">
        <v>943</v>
      </c>
      <c r="E489" s="81"/>
      <c r="F489" s="2" t="s">
        <v>239</v>
      </c>
      <c r="G489" s="34">
        <v>29.5</v>
      </c>
      <c r="H489" s="64">
        <v>0</v>
      </c>
      <c r="I489" s="34">
        <f>ROUND(G489*H489,2)</f>
        <v>0</v>
      </c>
      <c r="J489" s="65" t="s">
        <v>133</v>
      </c>
      <c r="K489" s="59"/>
      <c r="Z489" s="34">
        <f>ROUND(IF(AQ489="5",BJ489,0),2)</f>
        <v>0</v>
      </c>
      <c r="AB489" s="34">
        <f>ROUND(IF(AQ489="1",BH489,0),2)</f>
        <v>0</v>
      </c>
      <c r="AC489" s="34">
        <f>ROUND(IF(AQ489="1",BI489,0),2)</f>
        <v>0</v>
      </c>
      <c r="AD489" s="34">
        <f>ROUND(IF(AQ489="7",BH489,0),2)</f>
        <v>0</v>
      </c>
      <c r="AE489" s="34">
        <f>ROUND(IF(AQ489="7",BI489,0),2)</f>
        <v>0</v>
      </c>
      <c r="AF489" s="34">
        <f>ROUND(IF(AQ489="2",BH489,0),2)</f>
        <v>0</v>
      </c>
      <c r="AG489" s="34">
        <f>ROUND(IF(AQ489="2",BI489,0),2)</f>
        <v>0</v>
      </c>
      <c r="AH489" s="34">
        <f>ROUND(IF(AQ489="0",BJ489,0),2)</f>
        <v>0</v>
      </c>
      <c r="AI489" s="46" t="s">
        <v>84</v>
      </c>
      <c r="AJ489" s="34">
        <f>IF(AN489=0,I489,0)</f>
        <v>0</v>
      </c>
      <c r="AK489" s="34">
        <f>IF(AN489=12,I489,0)</f>
        <v>0</v>
      </c>
      <c r="AL489" s="34">
        <f>IF(AN489=21,I489,0)</f>
        <v>0</v>
      </c>
      <c r="AN489" s="34">
        <v>21</v>
      </c>
      <c r="AO489" s="34">
        <f>H489*0.435842507</f>
        <v>0</v>
      </c>
      <c r="AP489" s="34">
        <f>H489*(1-0.435842507)</f>
        <v>0</v>
      </c>
      <c r="AQ489" s="65" t="s">
        <v>175</v>
      </c>
      <c r="AV489" s="34">
        <f>ROUND(AW489+AX489,2)</f>
        <v>0</v>
      </c>
      <c r="AW489" s="34">
        <f>ROUND(G489*AO489,2)</f>
        <v>0</v>
      </c>
      <c r="AX489" s="34">
        <f>ROUND(G489*AP489,2)</f>
        <v>0</v>
      </c>
      <c r="AY489" s="65" t="s">
        <v>891</v>
      </c>
      <c r="AZ489" s="65" t="s">
        <v>802</v>
      </c>
      <c r="BA489" s="46" t="s">
        <v>136</v>
      </c>
      <c r="BC489" s="34">
        <f>AW489+AX489</f>
        <v>0</v>
      </c>
      <c r="BD489" s="34">
        <f>H489/(100-BE489)*100</f>
        <v>0</v>
      </c>
      <c r="BE489" s="34">
        <v>0</v>
      </c>
      <c r="BF489" s="34">
        <f>489</f>
        <v>489</v>
      </c>
      <c r="BH489" s="34">
        <f>G489*AO489</f>
        <v>0</v>
      </c>
      <c r="BI489" s="34">
        <f>G489*AP489</f>
        <v>0</v>
      </c>
      <c r="BJ489" s="34">
        <f>G489*H489</f>
        <v>0</v>
      </c>
      <c r="BK489" s="34"/>
      <c r="BL489" s="34">
        <v>712</v>
      </c>
      <c r="BW489" s="34">
        <v>21</v>
      </c>
      <c r="BX489" s="3" t="s">
        <v>943</v>
      </c>
    </row>
    <row r="490" spans="1:76" x14ac:dyDescent="0.25">
      <c r="A490" s="66"/>
      <c r="D490" s="67" t="s">
        <v>944</v>
      </c>
      <c r="E490" s="67" t="s">
        <v>945</v>
      </c>
      <c r="G490" s="68">
        <v>29.5</v>
      </c>
      <c r="K490" s="59"/>
    </row>
    <row r="491" spans="1:76" x14ac:dyDescent="0.25">
      <c r="A491" s="1" t="s">
        <v>946</v>
      </c>
      <c r="B491" s="2" t="s">
        <v>84</v>
      </c>
      <c r="C491" s="2" t="s">
        <v>947</v>
      </c>
      <c r="D491" s="86" t="s">
        <v>948</v>
      </c>
      <c r="E491" s="81"/>
      <c r="F491" s="2" t="s">
        <v>258</v>
      </c>
      <c r="G491" s="34">
        <v>1</v>
      </c>
      <c r="H491" s="64">
        <v>0</v>
      </c>
      <c r="I491" s="34">
        <f>ROUND(G491*H491,2)</f>
        <v>0</v>
      </c>
      <c r="J491" s="65" t="s">
        <v>398</v>
      </c>
      <c r="K491" s="59"/>
      <c r="Z491" s="34">
        <f>ROUND(IF(AQ491="5",BJ491,0),2)</f>
        <v>0</v>
      </c>
      <c r="AB491" s="34">
        <f>ROUND(IF(AQ491="1",BH491,0),2)</f>
        <v>0</v>
      </c>
      <c r="AC491" s="34">
        <f>ROUND(IF(AQ491="1",BI491,0),2)</f>
        <v>0</v>
      </c>
      <c r="AD491" s="34">
        <f>ROUND(IF(AQ491="7",BH491,0),2)</f>
        <v>0</v>
      </c>
      <c r="AE491" s="34">
        <f>ROUND(IF(AQ491="7",BI491,0),2)</f>
        <v>0</v>
      </c>
      <c r="AF491" s="34">
        <f>ROUND(IF(AQ491="2",BH491,0),2)</f>
        <v>0</v>
      </c>
      <c r="AG491" s="34">
        <f>ROUND(IF(AQ491="2",BI491,0),2)</f>
        <v>0</v>
      </c>
      <c r="AH491" s="34">
        <f>ROUND(IF(AQ491="0",BJ491,0),2)</f>
        <v>0</v>
      </c>
      <c r="AI491" s="46" t="s">
        <v>84</v>
      </c>
      <c r="AJ491" s="34">
        <f>IF(AN491=0,I491,0)</f>
        <v>0</v>
      </c>
      <c r="AK491" s="34">
        <f>IF(AN491=12,I491,0)</f>
        <v>0</v>
      </c>
      <c r="AL491" s="34">
        <f>IF(AN491=21,I491,0)</f>
        <v>0</v>
      </c>
      <c r="AN491" s="34">
        <v>21</v>
      </c>
      <c r="AO491" s="34">
        <f>H491*1</f>
        <v>0</v>
      </c>
      <c r="AP491" s="34">
        <f>H491*(1-1)</f>
        <v>0</v>
      </c>
      <c r="AQ491" s="65" t="s">
        <v>175</v>
      </c>
      <c r="AV491" s="34">
        <f>ROUND(AW491+AX491,2)</f>
        <v>0</v>
      </c>
      <c r="AW491" s="34">
        <f>ROUND(G491*AO491,2)</f>
        <v>0</v>
      </c>
      <c r="AX491" s="34">
        <f>ROUND(G491*AP491,2)</f>
        <v>0</v>
      </c>
      <c r="AY491" s="65" t="s">
        <v>891</v>
      </c>
      <c r="AZ491" s="65" t="s">
        <v>802</v>
      </c>
      <c r="BA491" s="46" t="s">
        <v>136</v>
      </c>
      <c r="BC491" s="34">
        <f>AW491+AX491</f>
        <v>0</v>
      </c>
      <c r="BD491" s="34">
        <f>H491/(100-BE491)*100</f>
        <v>0</v>
      </c>
      <c r="BE491" s="34">
        <v>0</v>
      </c>
      <c r="BF491" s="34">
        <f>491</f>
        <v>491</v>
      </c>
      <c r="BH491" s="34">
        <f>G491*AO491</f>
        <v>0</v>
      </c>
      <c r="BI491" s="34">
        <f>G491*AP491</f>
        <v>0</v>
      </c>
      <c r="BJ491" s="34">
        <f>G491*H491</f>
        <v>0</v>
      </c>
      <c r="BK491" s="34"/>
      <c r="BL491" s="34">
        <v>712</v>
      </c>
      <c r="BW491" s="34">
        <v>21</v>
      </c>
      <c r="BX491" s="3" t="s">
        <v>948</v>
      </c>
    </row>
    <row r="492" spans="1:76" x14ac:dyDescent="0.25">
      <c r="A492" s="66"/>
      <c r="D492" s="67" t="s">
        <v>129</v>
      </c>
      <c r="E492" s="67" t="s">
        <v>949</v>
      </c>
      <c r="G492" s="68">
        <v>1</v>
      </c>
      <c r="K492" s="59"/>
    </row>
    <row r="493" spans="1:76" x14ac:dyDescent="0.25">
      <c r="A493" s="1" t="s">
        <v>950</v>
      </c>
      <c r="B493" s="2" t="s">
        <v>84</v>
      </c>
      <c r="C493" s="2" t="s">
        <v>951</v>
      </c>
      <c r="D493" s="86" t="s">
        <v>952</v>
      </c>
      <c r="E493" s="81"/>
      <c r="F493" s="2" t="s">
        <v>258</v>
      </c>
      <c r="G493" s="34">
        <v>2</v>
      </c>
      <c r="H493" s="64">
        <v>0</v>
      </c>
      <c r="I493" s="34">
        <f>ROUND(G493*H493,2)</f>
        <v>0</v>
      </c>
      <c r="J493" s="65" t="s">
        <v>398</v>
      </c>
      <c r="K493" s="59"/>
      <c r="Z493" s="34">
        <f>ROUND(IF(AQ493="5",BJ493,0),2)</f>
        <v>0</v>
      </c>
      <c r="AB493" s="34">
        <f>ROUND(IF(AQ493="1",BH493,0),2)</f>
        <v>0</v>
      </c>
      <c r="AC493" s="34">
        <f>ROUND(IF(AQ493="1",BI493,0),2)</f>
        <v>0</v>
      </c>
      <c r="AD493" s="34">
        <f>ROUND(IF(AQ493="7",BH493,0),2)</f>
        <v>0</v>
      </c>
      <c r="AE493" s="34">
        <f>ROUND(IF(AQ493="7",BI493,0),2)</f>
        <v>0</v>
      </c>
      <c r="AF493" s="34">
        <f>ROUND(IF(AQ493="2",BH493,0),2)</f>
        <v>0</v>
      </c>
      <c r="AG493" s="34">
        <f>ROUND(IF(AQ493="2",BI493,0),2)</f>
        <v>0</v>
      </c>
      <c r="AH493" s="34">
        <f>ROUND(IF(AQ493="0",BJ493,0),2)</f>
        <v>0</v>
      </c>
      <c r="AI493" s="46" t="s">
        <v>84</v>
      </c>
      <c r="AJ493" s="34">
        <f>IF(AN493=0,I493,0)</f>
        <v>0</v>
      </c>
      <c r="AK493" s="34">
        <f>IF(AN493=12,I493,0)</f>
        <v>0</v>
      </c>
      <c r="AL493" s="34">
        <f>IF(AN493=21,I493,0)</f>
        <v>0</v>
      </c>
      <c r="AN493" s="34">
        <v>21</v>
      </c>
      <c r="AO493" s="34">
        <f>H493*1</f>
        <v>0</v>
      </c>
      <c r="AP493" s="34">
        <f>H493*(1-1)</f>
        <v>0</v>
      </c>
      <c r="AQ493" s="65" t="s">
        <v>175</v>
      </c>
      <c r="AV493" s="34">
        <f>ROUND(AW493+AX493,2)</f>
        <v>0</v>
      </c>
      <c r="AW493" s="34">
        <f>ROUND(G493*AO493,2)</f>
        <v>0</v>
      </c>
      <c r="AX493" s="34">
        <f>ROUND(G493*AP493,2)</f>
        <v>0</v>
      </c>
      <c r="AY493" s="65" t="s">
        <v>891</v>
      </c>
      <c r="AZ493" s="65" t="s">
        <v>802</v>
      </c>
      <c r="BA493" s="46" t="s">
        <v>136</v>
      </c>
      <c r="BC493" s="34">
        <f>AW493+AX493</f>
        <v>0</v>
      </c>
      <c r="BD493" s="34">
        <f>H493/(100-BE493)*100</f>
        <v>0</v>
      </c>
      <c r="BE493" s="34">
        <v>0</v>
      </c>
      <c r="BF493" s="34">
        <f>493</f>
        <v>493</v>
      </c>
      <c r="BH493" s="34">
        <f>G493*AO493</f>
        <v>0</v>
      </c>
      <c r="BI493" s="34">
        <f>G493*AP493</f>
        <v>0</v>
      </c>
      <c r="BJ493" s="34">
        <f>G493*H493</f>
        <v>0</v>
      </c>
      <c r="BK493" s="34"/>
      <c r="BL493" s="34">
        <v>712</v>
      </c>
      <c r="BW493" s="34">
        <v>21</v>
      </c>
      <c r="BX493" s="3" t="s">
        <v>952</v>
      </c>
    </row>
    <row r="494" spans="1:76" x14ac:dyDescent="0.25">
      <c r="A494" s="66"/>
      <c r="D494" s="67" t="s">
        <v>140</v>
      </c>
      <c r="E494" s="67" t="s">
        <v>953</v>
      </c>
      <c r="G494" s="68">
        <v>2</v>
      </c>
      <c r="K494" s="59"/>
    </row>
    <row r="495" spans="1:76" x14ac:dyDescent="0.25">
      <c r="A495" s="1" t="s">
        <v>954</v>
      </c>
      <c r="B495" s="2" t="s">
        <v>84</v>
      </c>
      <c r="C495" s="2" t="s">
        <v>955</v>
      </c>
      <c r="D495" s="86" t="s">
        <v>956</v>
      </c>
      <c r="E495" s="81"/>
      <c r="F495" s="2" t="s">
        <v>258</v>
      </c>
      <c r="G495" s="34">
        <v>3</v>
      </c>
      <c r="H495" s="64">
        <v>0</v>
      </c>
      <c r="I495" s="34">
        <f>ROUND(G495*H495,2)</f>
        <v>0</v>
      </c>
      <c r="J495" s="65" t="s">
        <v>398</v>
      </c>
      <c r="K495" s="59"/>
      <c r="Z495" s="34">
        <f>ROUND(IF(AQ495="5",BJ495,0),2)</f>
        <v>0</v>
      </c>
      <c r="AB495" s="34">
        <f>ROUND(IF(AQ495="1",BH495,0),2)</f>
        <v>0</v>
      </c>
      <c r="AC495" s="34">
        <f>ROUND(IF(AQ495="1",BI495,0),2)</f>
        <v>0</v>
      </c>
      <c r="AD495" s="34">
        <f>ROUND(IF(AQ495="7",BH495,0),2)</f>
        <v>0</v>
      </c>
      <c r="AE495" s="34">
        <f>ROUND(IF(AQ495="7",BI495,0),2)</f>
        <v>0</v>
      </c>
      <c r="AF495" s="34">
        <f>ROUND(IF(AQ495="2",BH495,0),2)</f>
        <v>0</v>
      </c>
      <c r="AG495" s="34">
        <f>ROUND(IF(AQ495="2",BI495,0),2)</f>
        <v>0</v>
      </c>
      <c r="AH495" s="34">
        <f>ROUND(IF(AQ495="0",BJ495,0),2)</f>
        <v>0</v>
      </c>
      <c r="AI495" s="46" t="s">
        <v>84</v>
      </c>
      <c r="AJ495" s="34">
        <f>IF(AN495=0,I495,0)</f>
        <v>0</v>
      </c>
      <c r="AK495" s="34">
        <f>IF(AN495=12,I495,0)</f>
        <v>0</v>
      </c>
      <c r="AL495" s="34">
        <f>IF(AN495=21,I495,0)</f>
        <v>0</v>
      </c>
      <c r="AN495" s="34">
        <v>21</v>
      </c>
      <c r="AO495" s="34">
        <f>H495*1</f>
        <v>0</v>
      </c>
      <c r="AP495" s="34">
        <f>H495*(1-1)</f>
        <v>0</v>
      </c>
      <c r="AQ495" s="65" t="s">
        <v>175</v>
      </c>
      <c r="AV495" s="34">
        <f>ROUND(AW495+AX495,2)</f>
        <v>0</v>
      </c>
      <c r="AW495" s="34">
        <f>ROUND(G495*AO495,2)</f>
        <v>0</v>
      </c>
      <c r="AX495" s="34">
        <f>ROUND(G495*AP495,2)</f>
        <v>0</v>
      </c>
      <c r="AY495" s="65" t="s">
        <v>891</v>
      </c>
      <c r="AZ495" s="65" t="s">
        <v>802</v>
      </c>
      <c r="BA495" s="46" t="s">
        <v>136</v>
      </c>
      <c r="BC495" s="34">
        <f>AW495+AX495</f>
        <v>0</v>
      </c>
      <c r="BD495" s="34">
        <f>H495/(100-BE495)*100</f>
        <v>0</v>
      </c>
      <c r="BE495" s="34">
        <v>0</v>
      </c>
      <c r="BF495" s="34">
        <f>495</f>
        <v>495</v>
      </c>
      <c r="BH495" s="34">
        <f>G495*AO495</f>
        <v>0</v>
      </c>
      <c r="BI495" s="34">
        <f>G495*AP495</f>
        <v>0</v>
      </c>
      <c r="BJ495" s="34">
        <f>G495*H495</f>
        <v>0</v>
      </c>
      <c r="BK495" s="34"/>
      <c r="BL495" s="34">
        <v>712</v>
      </c>
      <c r="BW495" s="34">
        <v>21</v>
      </c>
      <c r="BX495" s="3" t="s">
        <v>956</v>
      </c>
    </row>
    <row r="496" spans="1:76" x14ac:dyDescent="0.25">
      <c r="A496" s="66"/>
      <c r="D496" s="67" t="s">
        <v>148</v>
      </c>
      <c r="E496" s="67" t="s">
        <v>957</v>
      </c>
      <c r="G496" s="68">
        <v>3</v>
      </c>
      <c r="K496" s="59"/>
    </row>
    <row r="497" spans="1:76" x14ac:dyDescent="0.25">
      <c r="A497" s="1" t="s">
        <v>958</v>
      </c>
      <c r="B497" s="2" t="s">
        <v>84</v>
      </c>
      <c r="C497" s="2" t="s">
        <v>959</v>
      </c>
      <c r="D497" s="86" t="s">
        <v>960</v>
      </c>
      <c r="E497" s="81"/>
      <c r="F497" s="2" t="s">
        <v>258</v>
      </c>
      <c r="G497" s="34">
        <v>4</v>
      </c>
      <c r="H497" s="64">
        <v>0</v>
      </c>
      <c r="I497" s="34">
        <f>ROUND(G497*H497,2)</f>
        <v>0</v>
      </c>
      <c r="J497" s="65" t="s">
        <v>398</v>
      </c>
      <c r="K497" s="59"/>
      <c r="Z497" s="34">
        <f>ROUND(IF(AQ497="5",BJ497,0),2)</f>
        <v>0</v>
      </c>
      <c r="AB497" s="34">
        <f>ROUND(IF(AQ497="1",BH497,0),2)</f>
        <v>0</v>
      </c>
      <c r="AC497" s="34">
        <f>ROUND(IF(AQ497="1",BI497,0),2)</f>
        <v>0</v>
      </c>
      <c r="AD497" s="34">
        <f>ROUND(IF(AQ497="7",BH497,0),2)</f>
        <v>0</v>
      </c>
      <c r="AE497" s="34">
        <f>ROUND(IF(AQ497="7",BI497,0),2)</f>
        <v>0</v>
      </c>
      <c r="AF497" s="34">
        <f>ROUND(IF(AQ497="2",BH497,0),2)</f>
        <v>0</v>
      </c>
      <c r="AG497" s="34">
        <f>ROUND(IF(AQ497="2",BI497,0),2)</f>
        <v>0</v>
      </c>
      <c r="AH497" s="34">
        <f>ROUND(IF(AQ497="0",BJ497,0),2)</f>
        <v>0</v>
      </c>
      <c r="AI497" s="46" t="s">
        <v>84</v>
      </c>
      <c r="AJ497" s="34">
        <f>IF(AN497=0,I497,0)</f>
        <v>0</v>
      </c>
      <c r="AK497" s="34">
        <f>IF(AN497=12,I497,0)</f>
        <v>0</v>
      </c>
      <c r="AL497" s="34">
        <f>IF(AN497=21,I497,0)</f>
        <v>0</v>
      </c>
      <c r="AN497" s="34">
        <v>21</v>
      </c>
      <c r="AO497" s="34">
        <f>H497*1</f>
        <v>0</v>
      </c>
      <c r="AP497" s="34">
        <f>H497*(1-1)</f>
        <v>0</v>
      </c>
      <c r="AQ497" s="65" t="s">
        <v>175</v>
      </c>
      <c r="AV497" s="34">
        <f>ROUND(AW497+AX497,2)</f>
        <v>0</v>
      </c>
      <c r="AW497" s="34">
        <f>ROUND(G497*AO497,2)</f>
        <v>0</v>
      </c>
      <c r="AX497" s="34">
        <f>ROUND(G497*AP497,2)</f>
        <v>0</v>
      </c>
      <c r="AY497" s="65" t="s">
        <v>891</v>
      </c>
      <c r="AZ497" s="65" t="s">
        <v>802</v>
      </c>
      <c r="BA497" s="46" t="s">
        <v>136</v>
      </c>
      <c r="BC497" s="34">
        <f>AW497+AX497</f>
        <v>0</v>
      </c>
      <c r="BD497" s="34">
        <f>H497/(100-BE497)*100</f>
        <v>0</v>
      </c>
      <c r="BE497" s="34">
        <v>0</v>
      </c>
      <c r="BF497" s="34">
        <f>497</f>
        <v>497</v>
      </c>
      <c r="BH497" s="34">
        <f>G497*AO497</f>
        <v>0</v>
      </c>
      <c r="BI497" s="34">
        <f>G497*AP497</f>
        <v>0</v>
      </c>
      <c r="BJ497" s="34">
        <f>G497*H497</f>
        <v>0</v>
      </c>
      <c r="BK497" s="34"/>
      <c r="BL497" s="34">
        <v>712</v>
      </c>
      <c r="BW497" s="34">
        <v>21</v>
      </c>
      <c r="BX497" s="3" t="s">
        <v>960</v>
      </c>
    </row>
    <row r="498" spans="1:76" x14ac:dyDescent="0.25">
      <c r="A498" s="66"/>
      <c r="D498" s="67" t="s">
        <v>161</v>
      </c>
      <c r="E498" s="67" t="s">
        <v>961</v>
      </c>
      <c r="G498" s="68">
        <v>4</v>
      </c>
      <c r="K498" s="59"/>
    </row>
    <row r="499" spans="1:76" x14ac:dyDescent="0.25">
      <c r="A499" s="1" t="s">
        <v>962</v>
      </c>
      <c r="B499" s="2" t="s">
        <v>84</v>
      </c>
      <c r="C499" s="2" t="s">
        <v>963</v>
      </c>
      <c r="D499" s="86" t="s">
        <v>964</v>
      </c>
      <c r="E499" s="81"/>
      <c r="F499" s="2" t="s">
        <v>258</v>
      </c>
      <c r="G499" s="34">
        <v>2</v>
      </c>
      <c r="H499" s="64">
        <v>0</v>
      </c>
      <c r="I499" s="34">
        <f>ROUND(G499*H499,2)</f>
        <v>0</v>
      </c>
      <c r="J499" s="65" t="s">
        <v>398</v>
      </c>
      <c r="K499" s="59"/>
      <c r="Z499" s="34">
        <f>ROUND(IF(AQ499="5",BJ499,0),2)</f>
        <v>0</v>
      </c>
      <c r="AB499" s="34">
        <f>ROUND(IF(AQ499="1",BH499,0),2)</f>
        <v>0</v>
      </c>
      <c r="AC499" s="34">
        <f>ROUND(IF(AQ499="1",BI499,0),2)</f>
        <v>0</v>
      </c>
      <c r="AD499" s="34">
        <f>ROUND(IF(AQ499="7",BH499,0),2)</f>
        <v>0</v>
      </c>
      <c r="AE499" s="34">
        <f>ROUND(IF(AQ499="7",BI499,0),2)</f>
        <v>0</v>
      </c>
      <c r="AF499" s="34">
        <f>ROUND(IF(AQ499="2",BH499,0),2)</f>
        <v>0</v>
      </c>
      <c r="AG499" s="34">
        <f>ROUND(IF(AQ499="2",BI499,0),2)</f>
        <v>0</v>
      </c>
      <c r="AH499" s="34">
        <f>ROUND(IF(AQ499="0",BJ499,0),2)</f>
        <v>0</v>
      </c>
      <c r="AI499" s="46" t="s">
        <v>84</v>
      </c>
      <c r="AJ499" s="34">
        <f>IF(AN499=0,I499,0)</f>
        <v>0</v>
      </c>
      <c r="AK499" s="34">
        <f>IF(AN499=12,I499,0)</f>
        <v>0</v>
      </c>
      <c r="AL499" s="34">
        <f>IF(AN499=21,I499,0)</f>
        <v>0</v>
      </c>
      <c r="AN499" s="34">
        <v>21</v>
      </c>
      <c r="AO499" s="34">
        <f>H499*1</f>
        <v>0</v>
      </c>
      <c r="AP499" s="34">
        <f>H499*(1-1)</f>
        <v>0</v>
      </c>
      <c r="AQ499" s="65" t="s">
        <v>175</v>
      </c>
      <c r="AV499" s="34">
        <f>ROUND(AW499+AX499,2)</f>
        <v>0</v>
      </c>
      <c r="AW499" s="34">
        <f>ROUND(G499*AO499,2)</f>
        <v>0</v>
      </c>
      <c r="AX499" s="34">
        <f>ROUND(G499*AP499,2)</f>
        <v>0</v>
      </c>
      <c r="AY499" s="65" t="s">
        <v>891</v>
      </c>
      <c r="AZ499" s="65" t="s">
        <v>802</v>
      </c>
      <c r="BA499" s="46" t="s">
        <v>136</v>
      </c>
      <c r="BC499" s="34">
        <f>AW499+AX499</f>
        <v>0</v>
      </c>
      <c r="BD499" s="34">
        <f>H499/(100-BE499)*100</f>
        <v>0</v>
      </c>
      <c r="BE499" s="34">
        <v>0</v>
      </c>
      <c r="BF499" s="34">
        <f>499</f>
        <v>499</v>
      </c>
      <c r="BH499" s="34">
        <f>G499*AO499</f>
        <v>0</v>
      </c>
      <c r="BI499" s="34">
        <f>G499*AP499</f>
        <v>0</v>
      </c>
      <c r="BJ499" s="34">
        <f>G499*H499</f>
        <v>0</v>
      </c>
      <c r="BK499" s="34"/>
      <c r="BL499" s="34">
        <v>712</v>
      </c>
      <c r="BW499" s="34">
        <v>21</v>
      </c>
      <c r="BX499" s="3" t="s">
        <v>964</v>
      </c>
    </row>
    <row r="500" spans="1:76" x14ac:dyDescent="0.25">
      <c r="A500" s="60" t="s">
        <v>4</v>
      </c>
      <c r="B500" s="61" t="s">
        <v>84</v>
      </c>
      <c r="C500" s="61" t="s">
        <v>965</v>
      </c>
      <c r="D500" s="167" t="s">
        <v>966</v>
      </c>
      <c r="E500" s="168"/>
      <c r="F500" s="62" t="s">
        <v>79</v>
      </c>
      <c r="G500" s="62" t="s">
        <v>79</v>
      </c>
      <c r="H500" s="63" t="s">
        <v>79</v>
      </c>
      <c r="I500" s="39">
        <f>SUM(I501:I544)</f>
        <v>0</v>
      </c>
      <c r="J500" s="46" t="s">
        <v>4</v>
      </c>
      <c r="K500" s="59"/>
      <c r="AI500" s="46" t="s">
        <v>84</v>
      </c>
      <c r="AS500" s="39">
        <f>SUM(AJ501:AJ544)</f>
        <v>0</v>
      </c>
      <c r="AT500" s="39">
        <f>SUM(AK501:AK544)</f>
        <v>0</v>
      </c>
      <c r="AU500" s="39">
        <f>SUM(AL501:AL544)</f>
        <v>0</v>
      </c>
    </row>
    <row r="501" spans="1:76" x14ac:dyDescent="0.25">
      <c r="A501" s="1" t="s">
        <v>967</v>
      </c>
      <c r="B501" s="2" t="s">
        <v>84</v>
      </c>
      <c r="C501" s="2" t="s">
        <v>968</v>
      </c>
      <c r="D501" s="86" t="s">
        <v>969</v>
      </c>
      <c r="E501" s="81"/>
      <c r="F501" s="2" t="s">
        <v>132</v>
      </c>
      <c r="G501" s="34">
        <v>156</v>
      </c>
      <c r="H501" s="64">
        <v>0</v>
      </c>
      <c r="I501" s="34">
        <f>ROUND(G501*H501,2)</f>
        <v>0</v>
      </c>
      <c r="J501" s="65" t="s">
        <v>133</v>
      </c>
      <c r="K501" s="59"/>
      <c r="Z501" s="34">
        <f>ROUND(IF(AQ501="5",BJ501,0),2)</f>
        <v>0</v>
      </c>
      <c r="AB501" s="34">
        <f>ROUND(IF(AQ501="1",BH501,0),2)</f>
        <v>0</v>
      </c>
      <c r="AC501" s="34">
        <f>ROUND(IF(AQ501="1",BI501,0),2)</f>
        <v>0</v>
      </c>
      <c r="AD501" s="34">
        <f>ROUND(IF(AQ501="7",BH501,0),2)</f>
        <v>0</v>
      </c>
      <c r="AE501" s="34">
        <f>ROUND(IF(AQ501="7",BI501,0),2)</f>
        <v>0</v>
      </c>
      <c r="AF501" s="34">
        <f>ROUND(IF(AQ501="2",BH501,0),2)</f>
        <v>0</v>
      </c>
      <c r="AG501" s="34">
        <f>ROUND(IF(AQ501="2",BI501,0),2)</f>
        <v>0</v>
      </c>
      <c r="AH501" s="34">
        <f>ROUND(IF(AQ501="0",BJ501,0),2)</f>
        <v>0</v>
      </c>
      <c r="AI501" s="46" t="s">
        <v>84</v>
      </c>
      <c r="AJ501" s="34">
        <f>IF(AN501=0,I501,0)</f>
        <v>0</v>
      </c>
      <c r="AK501" s="34">
        <f>IF(AN501=12,I501,0)</f>
        <v>0</v>
      </c>
      <c r="AL501" s="34">
        <f>IF(AN501=21,I501,0)</f>
        <v>0</v>
      </c>
      <c r="AN501" s="34">
        <v>21</v>
      </c>
      <c r="AO501" s="34">
        <f>H501*0</f>
        <v>0</v>
      </c>
      <c r="AP501" s="34">
        <f>H501*(1-0)</f>
        <v>0</v>
      </c>
      <c r="AQ501" s="65" t="s">
        <v>175</v>
      </c>
      <c r="AV501" s="34">
        <f>ROUND(AW501+AX501,2)</f>
        <v>0</v>
      </c>
      <c r="AW501" s="34">
        <f>ROUND(G501*AO501,2)</f>
        <v>0</v>
      </c>
      <c r="AX501" s="34">
        <f>ROUND(G501*AP501,2)</f>
        <v>0</v>
      </c>
      <c r="AY501" s="65" t="s">
        <v>970</v>
      </c>
      <c r="AZ501" s="65" t="s">
        <v>802</v>
      </c>
      <c r="BA501" s="46" t="s">
        <v>136</v>
      </c>
      <c r="BC501" s="34">
        <f>AW501+AX501</f>
        <v>0</v>
      </c>
      <c r="BD501" s="34">
        <f>H501/(100-BE501)*100</f>
        <v>0</v>
      </c>
      <c r="BE501" s="34">
        <v>0</v>
      </c>
      <c r="BF501" s="34">
        <f>501</f>
        <v>501</v>
      </c>
      <c r="BH501" s="34">
        <f>G501*AO501</f>
        <v>0</v>
      </c>
      <c r="BI501" s="34">
        <f>G501*AP501</f>
        <v>0</v>
      </c>
      <c r="BJ501" s="34">
        <f>G501*H501</f>
        <v>0</v>
      </c>
      <c r="BK501" s="34"/>
      <c r="BL501" s="34">
        <v>713</v>
      </c>
      <c r="BW501" s="34">
        <v>21</v>
      </c>
      <c r="BX501" s="3" t="s">
        <v>969</v>
      </c>
    </row>
    <row r="502" spans="1:76" x14ac:dyDescent="0.25">
      <c r="A502" s="66"/>
      <c r="D502" s="67" t="s">
        <v>971</v>
      </c>
      <c r="E502" s="67" t="s">
        <v>972</v>
      </c>
      <c r="G502" s="68">
        <v>156</v>
      </c>
      <c r="K502" s="59"/>
    </row>
    <row r="503" spans="1:76" x14ac:dyDescent="0.25">
      <c r="A503" s="1" t="s">
        <v>973</v>
      </c>
      <c r="B503" s="2" t="s">
        <v>84</v>
      </c>
      <c r="C503" s="2" t="s">
        <v>974</v>
      </c>
      <c r="D503" s="86" t="s">
        <v>975</v>
      </c>
      <c r="E503" s="81"/>
      <c r="F503" s="2" t="s">
        <v>132</v>
      </c>
      <c r="G503" s="34">
        <v>68.400000000000006</v>
      </c>
      <c r="H503" s="64">
        <v>0</v>
      </c>
      <c r="I503" s="34">
        <f>ROUND(G503*H503,2)</f>
        <v>0</v>
      </c>
      <c r="J503" s="65" t="s">
        <v>133</v>
      </c>
      <c r="K503" s="59"/>
      <c r="Z503" s="34">
        <f>ROUND(IF(AQ503="5",BJ503,0),2)</f>
        <v>0</v>
      </c>
      <c r="AB503" s="34">
        <f>ROUND(IF(AQ503="1",BH503,0),2)</f>
        <v>0</v>
      </c>
      <c r="AC503" s="34">
        <f>ROUND(IF(AQ503="1",BI503,0),2)</f>
        <v>0</v>
      </c>
      <c r="AD503" s="34">
        <f>ROUND(IF(AQ503="7",BH503,0),2)</f>
        <v>0</v>
      </c>
      <c r="AE503" s="34">
        <f>ROUND(IF(AQ503="7",BI503,0),2)</f>
        <v>0</v>
      </c>
      <c r="AF503" s="34">
        <f>ROUND(IF(AQ503="2",BH503,0),2)</f>
        <v>0</v>
      </c>
      <c r="AG503" s="34">
        <f>ROUND(IF(AQ503="2",BI503,0),2)</f>
        <v>0</v>
      </c>
      <c r="AH503" s="34">
        <f>ROUND(IF(AQ503="0",BJ503,0),2)</f>
        <v>0</v>
      </c>
      <c r="AI503" s="46" t="s">
        <v>84</v>
      </c>
      <c r="AJ503" s="34">
        <f>IF(AN503=0,I503,0)</f>
        <v>0</v>
      </c>
      <c r="AK503" s="34">
        <f>IF(AN503=12,I503,0)</f>
        <v>0</v>
      </c>
      <c r="AL503" s="34">
        <f>IF(AN503=21,I503,0)</f>
        <v>0</v>
      </c>
      <c r="AN503" s="34">
        <v>21</v>
      </c>
      <c r="AO503" s="34">
        <f>H503*0</f>
        <v>0</v>
      </c>
      <c r="AP503" s="34">
        <f>H503*(1-0)</f>
        <v>0</v>
      </c>
      <c r="AQ503" s="65" t="s">
        <v>175</v>
      </c>
      <c r="AV503" s="34">
        <f>ROUND(AW503+AX503,2)</f>
        <v>0</v>
      </c>
      <c r="AW503" s="34">
        <f>ROUND(G503*AO503,2)</f>
        <v>0</v>
      </c>
      <c r="AX503" s="34">
        <f>ROUND(G503*AP503,2)</f>
        <v>0</v>
      </c>
      <c r="AY503" s="65" t="s">
        <v>970</v>
      </c>
      <c r="AZ503" s="65" t="s">
        <v>802</v>
      </c>
      <c r="BA503" s="46" t="s">
        <v>136</v>
      </c>
      <c r="BC503" s="34">
        <f>AW503+AX503</f>
        <v>0</v>
      </c>
      <c r="BD503" s="34">
        <f>H503/(100-BE503)*100</f>
        <v>0</v>
      </c>
      <c r="BE503" s="34">
        <v>0</v>
      </c>
      <c r="BF503" s="34">
        <f>503</f>
        <v>503</v>
      </c>
      <c r="BH503" s="34">
        <f>G503*AO503</f>
        <v>0</v>
      </c>
      <c r="BI503" s="34">
        <f>G503*AP503</f>
        <v>0</v>
      </c>
      <c r="BJ503" s="34">
        <f>G503*H503</f>
        <v>0</v>
      </c>
      <c r="BK503" s="34"/>
      <c r="BL503" s="34">
        <v>713</v>
      </c>
      <c r="BW503" s="34">
        <v>21</v>
      </c>
      <c r="BX503" s="3" t="s">
        <v>975</v>
      </c>
    </row>
    <row r="504" spans="1:76" ht="13.5" customHeight="1" x14ac:dyDescent="0.25">
      <c r="A504" s="66"/>
      <c r="C504" s="69" t="s">
        <v>204</v>
      </c>
      <c r="D504" s="169" t="s">
        <v>976</v>
      </c>
      <c r="E504" s="170"/>
      <c r="F504" s="170"/>
      <c r="G504" s="170"/>
      <c r="H504" s="171"/>
      <c r="I504" s="170"/>
      <c r="J504" s="170"/>
      <c r="K504" s="172"/>
    </row>
    <row r="505" spans="1:76" x14ac:dyDescent="0.25">
      <c r="A505" s="66"/>
      <c r="D505" s="67" t="s">
        <v>715</v>
      </c>
      <c r="E505" s="67" t="s">
        <v>977</v>
      </c>
      <c r="G505" s="68">
        <v>68.400000000000006</v>
      </c>
      <c r="K505" s="59"/>
    </row>
    <row r="506" spans="1:76" x14ac:dyDescent="0.25">
      <c r="A506" s="1" t="s">
        <v>978</v>
      </c>
      <c r="B506" s="2" t="s">
        <v>84</v>
      </c>
      <c r="C506" s="2" t="s">
        <v>979</v>
      </c>
      <c r="D506" s="86" t="s">
        <v>980</v>
      </c>
      <c r="E506" s="81"/>
      <c r="F506" s="2" t="s">
        <v>132</v>
      </c>
      <c r="G506" s="34">
        <v>143.63999999999999</v>
      </c>
      <c r="H506" s="64">
        <v>0</v>
      </c>
      <c r="I506" s="34">
        <f>ROUND(G506*H506,2)</f>
        <v>0</v>
      </c>
      <c r="J506" s="65" t="s">
        <v>133</v>
      </c>
      <c r="K506" s="59"/>
      <c r="Z506" s="34">
        <f>ROUND(IF(AQ506="5",BJ506,0),2)</f>
        <v>0</v>
      </c>
      <c r="AB506" s="34">
        <f>ROUND(IF(AQ506="1",BH506,0),2)</f>
        <v>0</v>
      </c>
      <c r="AC506" s="34">
        <f>ROUND(IF(AQ506="1",BI506,0),2)</f>
        <v>0</v>
      </c>
      <c r="AD506" s="34">
        <f>ROUND(IF(AQ506="7",BH506,0),2)</f>
        <v>0</v>
      </c>
      <c r="AE506" s="34">
        <f>ROUND(IF(AQ506="7",BI506,0),2)</f>
        <v>0</v>
      </c>
      <c r="AF506" s="34">
        <f>ROUND(IF(AQ506="2",BH506,0),2)</f>
        <v>0</v>
      </c>
      <c r="AG506" s="34">
        <f>ROUND(IF(AQ506="2",BI506,0),2)</f>
        <v>0</v>
      </c>
      <c r="AH506" s="34">
        <f>ROUND(IF(AQ506="0",BJ506,0),2)</f>
        <v>0</v>
      </c>
      <c r="AI506" s="46" t="s">
        <v>84</v>
      </c>
      <c r="AJ506" s="34">
        <f>IF(AN506=0,I506,0)</f>
        <v>0</v>
      </c>
      <c r="AK506" s="34">
        <f>IF(AN506=12,I506,0)</f>
        <v>0</v>
      </c>
      <c r="AL506" s="34">
        <f>IF(AN506=21,I506,0)</f>
        <v>0</v>
      </c>
      <c r="AN506" s="34">
        <v>21</v>
      </c>
      <c r="AO506" s="34">
        <f>H506*1</f>
        <v>0</v>
      </c>
      <c r="AP506" s="34">
        <f>H506*(1-1)</f>
        <v>0</v>
      </c>
      <c r="AQ506" s="65" t="s">
        <v>175</v>
      </c>
      <c r="AV506" s="34">
        <f>ROUND(AW506+AX506,2)</f>
        <v>0</v>
      </c>
      <c r="AW506" s="34">
        <f>ROUND(G506*AO506,2)</f>
        <v>0</v>
      </c>
      <c r="AX506" s="34">
        <f>ROUND(G506*AP506,2)</f>
        <v>0</v>
      </c>
      <c r="AY506" s="65" t="s">
        <v>970</v>
      </c>
      <c r="AZ506" s="65" t="s">
        <v>802</v>
      </c>
      <c r="BA506" s="46" t="s">
        <v>136</v>
      </c>
      <c r="BC506" s="34">
        <f>AW506+AX506</f>
        <v>0</v>
      </c>
      <c r="BD506" s="34">
        <f>H506/(100-BE506)*100</f>
        <v>0</v>
      </c>
      <c r="BE506" s="34">
        <v>0</v>
      </c>
      <c r="BF506" s="34">
        <f>506</f>
        <v>506</v>
      </c>
      <c r="BH506" s="34">
        <f>G506*AO506</f>
        <v>0</v>
      </c>
      <c r="BI506" s="34">
        <f>G506*AP506</f>
        <v>0</v>
      </c>
      <c r="BJ506" s="34">
        <f>G506*H506</f>
        <v>0</v>
      </c>
      <c r="BK506" s="34"/>
      <c r="BL506" s="34">
        <v>713</v>
      </c>
      <c r="BW506" s="34">
        <v>21</v>
      </c>
      <c r="BX506" s="3" t="s">
        <v>980</v>
      </c>
    </row>
    <row r="507" spans="1:76" x14ac:dyDescent="0.25">
      <c r="A507" s="66"/>
      <c r="D507" s="67" t="s">
        <v>981</v>
      </c>
      <c r="E507" s="67" t="s">
        <v>982</v>
      </c>
      <c r="G507" s="68">
        <v>143.63999999999999</v>
      </c>
      <c r="K507" s="59"/>
    </row>
    <row r="508" spans="1:76" x14ac:dyDescent="0.25">
      <c r="A508" s="1" t="s">
        <v>983</v>
      </c>
      <c r="B508" s="2" t="s">
        <v>84</v>
      </c>
      <c r="C508" s="2" t="s">
        <v>984</v>
      </c>
      <c r="D508" s="86" t="s">
        <v>985</v>
      </c>
      <c r="E508" s="81"/>
      <c r="F508" s="2" t="s">
        <v>239</v>
      </c>
      <c r="G508" s="34">
        <v>146.9</v>
      </c>
      <c r="H508" s="64">
        <v>0</v>
      </c>
      <c r="I508" s="34">
        <f>ROUND(G508*H508,2)</f>
        <v>0</v>
      </c>
      <c r="J508" s="65" t="s">
        <v>133</v>
      </c>
      <c r="K508" s="59"/>
      <c r="Z508" s="34">
        <f>ROUND(IF(AQ508="5",BJ508,0),2)</f>
        <v>0</v>
      </c>
      <c r="AB508" s="34">
        <f>ROUND(IF(AQ508="1",BH508,0),2)</f>
        <v>0</v>
      </c>
      <c r="AC508" s="34">
        <f>ROUND(IF(AQ508="1",BI508,0),2)</f>
        <v>0</v>
      </c>
      <c r="AD508" s="34">
        <f>ROUND(IF(AQ508="7",BH508,0),2)</f>
        <v>0</v>
      </c>
      <c r="AE508" s="34">
        <f>ROUND(IF(AQ508="7",BI508,0),2)</f>
        <v>0</v>
      </c>
      <c r="AF508" s="34">
        <f>ROUND(IF(AQ508="2",BH508,0),2)</f>
        <v>0</v>
      </c>
      <c r="AG508" s="34">
        <f>ROUND(IF(AQ508="2",BI508,0),2)</f>
        <v>0</v>
      </c>
      <c r="AH508" s="34">
        <f>ROUND(IF(AQ508="0",BJ508,0),2)</f>
        <v>0</v>
      </c>
      <c r="AI508" s="46" t="s">
        <v>84</v>
      </c>
      <c r="AJ508" s="34">
        <f>IF(AN508=0,I508,0)</f>
        <v>0</v>
      </c>
      <c r="AK508" s="34">
        <f>IF(AN508=12,I508,0)</f>
        <v>0</v>
      </c>
      <c r="AL508" s="34">
        <f>IF(AN508=21,I508,0)</f>
        <v>0</v>
      </c>
      <c r="AN508" s="34">
        <v>21</v>
      </c>
      <c r="AO508" s="34">
        <f>H508*0.517286336</f>
        <v>0</v>
      </c>
      <c r="AP508" s="34">
        <f>H508*(1-0.517286336)</f>
        <v>0</v>
      </c>
      <c r="AQ508" s="65" t="s">
        <v>175</v>
      </c>
      <c r="AV508" s="34">
        <f>ROUND(AW508+AX508,2)</f>
        <v>0</v>
      </c>
      <c r="AW508" s="34">
        <f>ROUND(G508*AO508,2)</f>
        <v>0</v>
      </c>
      <c r="AX508" s="34">
        <f>ROUND(G508*AP508,2)</f>
        <v>0</v>
      </c>
      <c r="AY508" s="65" t="s">
        <v>970</v>
      </c>
      <c r="AZ508" s="65" t="s">
        <v>802</v>
      </c>
      <c r="BA508" s="46" t="s">
        <v>136</v>
      </c>
      <c r="BC508" s="34">
        <f>AW508+AX508</f>
        <v>0</v>
      </c>
      <c r="BD508" s="34">
        <f>H508/(100-BE508)*100</f>
        <v>0</v>
      </c>
      <c r="BE508" s="34">
        <v>0</v>
      </c>
      <c r="BF508" s="34">
        <f>508</f>
        <v>508</v>
      </c>
      <c r="BH508" s="34">
        <f>G508*AO508</f>
        <v>0</v>
      </c>
      <c r="BI508" s="34">
        <f>G508*AP508</f>
        <v>0</v>
      </c>
      <c r="BJ508" s="34">
        <f>G508*H508</f>
        <v>0</v>
      </c>
      <c r="BK508" s="34"/>
      <c r="BL508" s="34">
        <v>713</v>
      </c>
      <c r="BW508" s="34">
        <v>21</v>
      </c>
      <c r="BX508" s="3" t="s">
        <v>985</v>
      </c>
    </row>
    <row r="509" spans="1:76" x14ac:dyDescent="0.25">
      <c r="A509" s="66"/>
      <c r="D509" s="67" t="s">
        <v>986</v>
      </c>
      <c r="E509" s="67" t="s">
        <v>4</v>
      </c>
      <c r="G509" s="68">
        <v>33</v>
      </c>
      <c r="K509" s="59"/>
    </row>
    <row r="510" spans="1:76" x14ac:dyDescent="0.25">
      <c r="A510" s="66"/>
      <c r="D510" s="67" t="s">
        <v>987</v>
      </c>
      <c r="E510" s="67" t="s">
        <v>4</v>
      </c>
      <c r="G510" s="68">
        <v>68</v>
      </c>
      <c r="K510" s="59"/>
    </row>
    <row r="511" spans="1:76" x14ac:dyDescent="0.25">
      <c r="A511" s="66"/>
      <c r="D511" s="67" t="s">
        <v>988</v>
      </c>
      <c r="E511" s="67" t="s">
        <v>4</v>
      </c>
      <c r="G511" s="68">
        <v>12.8</v>
      </c>
      <c r="K511" s="59"/>
    </row>
    <row r="512" spans="1:76" x14ac:dyDescent="0.25">
      <c r="A512" s="66"/>
      <c r="D512" s="67" t="s">
        <v>989</v>
      </c>
      <c r="E512" s="67" t="s">
        <v>4</v>
      </c>
      <c r="G512" s="68">
        <v>25.1</v>
      </c>
      <c r="K512" s="59"/>
    </row>
    <row r="513" spans="1:76" x14ac:dyDescent="0.25">
      <c r="A513" s="66"/>
      <c r="D513" s="67" t="s">
        <v>182</v>
      </c>
      <c r="E513" s="67" t="s">
        <v>4</v>
      </c>
      <c r="G513" s="68">
        <v>8</v>
      </c>
      <c r="K513" s="59"/>
    </row>
    <row r="514" spans="1:76" x14ac:dyDescent="0.25">
      <c r="A514" s="1" t="s">
        <v>990</v>
      </c>
      <c r="B514" s="2" t="s">
        <v>84</v>
      </c>
      <c r="C514" s="2" t="s">
        <v>991</v>
      </c>
      <c r="D514" s="86" t="s">
        <v>992</v>
      </c>
      <c r="E514" s="81"/>
      <c r="F514" s="2" t="s">
        <v>239</v>
      </c>
      <c r="G514" s="34">
        <v>22.4</v>
      </c>
      <c r="H514" s="64">
        <v>0</v>
      </c>
      <c r="I514" s="34">
        <f>ROUND(G514*H514,2)</f>
        <v>0</v>
      </c>
      <c r="J514" s="65" t="s">
        <v>133</v>
      </c>
      <c r="K514" s="59"/>
      <c r="Z514" s="34">
        <f>ROUND(IF(AQ514="5",BJ514,0),2)</f>
        <v>0</v>
      </c>
      <c r="AB514" s="34">
        <f>ROUND(IF(AQ514="1",BH514,0),2)</f>
        <v>0</v>
      </c>
      <c r="AC514" s="34">
        <f>ROUND(IF(AQ514="1",BI514,0),2)</f>
        <v>0</v>
      </c>
      <c r="AD514" s="34">
        <f>ROUND(IF(AQ514="7",BH514,0),2)</f>
        <v>0</v>
      </c>
      <c r="AE514" s="34">
        <f>ROUND(IF(AQ514="7",BI514,0),2)</f>
        <v>0</v>
      </c>
      <c r="AF514" s="34">
        <f>ROUND(IF(AQ514="2",BH514,0),2)</f>
        <v>0</v>
      </c>
      <c r="AG514" s="34">
        <f>ROUND(IF(AQ514="2",BI514,0),2)</f>
        <v>0</v>
      </c>
      <c r="AH514" s="34">
        <f>ROUND(IF(AQ514="0",BJ514,0),2)</f>
        <v>0</v>
      </c>
      <c r="AI514" s="46" t="s">
        <v>84</v>
      </c>
      <c r="AJ514" s="34">
        <f>IF(AN514=0,I514,0)</f>
        <v>0</v>
      </c>
      <c r="AK514" s="34">
        <f>IF(AN514=12,I514,0)</f>
        <v>0</v>
      </c>
      <c r="AL514" s="34">
        <f>IF(AN514=21,I514,0)</f>
        <v>0</v>
      </c>
      <c r="AN514" s="34">
        <v>21</v>
      </c>
      <c r="AO514" s="34">
        <f>H514*0.571150738</f>
        <v>0</v>
      </c>
      <c r="AP514" s="34">
        <f>H514*(1-0.571150738)</f>
        <v>0</v>
      </c>
      <c r="AQ514" s="65" t="s">
        <v>175</v>
      </c>
      <c r="AV514" s="34">
        <f>ROUND(AW514+AX514,2)</f>
        <v>0</v>
      </c>
      <c r="AW514" s="34">
        <f>ROUND(G514*AO514,2)</f>
        <v>0</v>
      </c>
      <c r="AX514" s="34">
        <f>ROUND(G514*AP514,2)</f>
        <v>0</v>
      </c>
      <c r="AY514" s="65" t="s">
        <v>970</v>
      </c>
      <c r="AZ514" s="65" t="s">
        <v>802</v>
      </c>
      <c r="BA514" s="46" t="s">
        <v>136</v>
      </c>
      <c r="BC514" s="34">
        <f>AW514+AX514</f>
        <v>0</v>
      </c>
      <c r="BD514" s="34">
        <f>H514/(100-BE514)*100</f>
        <v>0</v>
      </c>
      <c r="BE514" s="34">
        <v>0</v>
      </c>
      <c r="BF514" s="34">
        <f>514</f>
        <v>514</v>
      </c>
      <c r="BH514" s="34">
        <f>G514*AO514</f>
        <v>0</v>
      </c>
      <c r="BI514" s="34">
        <f>G514*AP514</f>
        <v>0</v>
      </c>
      <c r="BJ514" s="34">
        <f>G514*H514</f>
        <v>0</v>
      </c>
      <c r="BK514" s="34"/>
      <c r="BL514" s="34">
        <v>713</v>
      </c>
      <c r="BW514" s="34">
        <v>21</v>
      </c>
      <c r="BX514" s="3" t="s">
        <v>992</v>
      </c>
    </row>
    <row r="515" spans="1:76" x14ac:dyDescent="0.25">
      <c r="A515" s="66"/>
      <c r="D515" s="67" t="s">
        <v>993</v>
      </c>
      <c r="E515" s="67" t="s">
        <v>4</v>
      </c>
      <c r="G515" s="68">
        <v>22.4</v>
      </c>
      <c r="K515" s="59"/>
    </row>
    <row r="516" spans="1:76" x14ac:dyDescent="0.25">
      <c r="A516" s="1" t="s">
        <v>994</v>
      </c>
      <c r="B516" s="2" t="s">
        <v>84</v>
      </c>
      <c r="C516" s="2" t="s">
        <v>995</v>
      </c>
      <c r="D516" s="86" t="s">
        <v>996</v>
      </c>
      <c r="E516" s="81"/>
      <c r="F516" s="2" t="s">
        <v>132</v>
      </c>
      <c r="G516" s="34">
        <v>484.5</v>
      </c>
      <c r="H516" s="64">
        <v>0</v>
      </c>
      <c r="I516" s="34">
        <f>ROUND(G516*H516,2)</f>
        <v>0</v>
      </c>
      <c r="J516" s="65" t="s">
        <v>133</v>
      </c>
      <c r="K516" s="59"/>
      <c r="Z516" s="34">
        <f>ROUND(IF(AQ516="5",BJ516,0),2)</f>
        <v>0</v>
      </c>
      <c r="AB516" s="34">
        <f>ROUND(IF(AQ516="1",BH516,0),2)</f>
        <v>0</v>
      </c>
      <c r="AC516" s="34">
        <f>ROUND(IF(AQ516="1",BI516,0),2)</f>
        <v>0</v>
      </c>
      <c r="AD516" s="34">
        <f>ROUND(IF(AQ516="7",BH516,0),2)</f>
        <v>0</v>
      </c>
      <c r="AE516" s="34">
        <f>ROUND(IF(AQ516="7",BI516,0),2)</f>
        <v>0</v>
      </c>
      <c r="AF516" s="34">
        <f>ROUND(IF(AQ516="2",BH516,0),2)</f>
        <v>0</v>
      </c>
      <c r="AG516" s="34">
        <f>ROUND(IF(AQ516="2",BI516,0),2)</f>
        <v>0</v>
      </c>
      <c r="AH516" s="34">
        <f>ROUND(IF(AQ516="0",BJ516,0),2)</f>
        <v>0</v>
      </c>
      <c r="AI516" s="46" t="s">
        <v>84</v>
      </c>
      <c r="AJ516" s="34">
        <f>IF(AN516=0,I516,0)</f>
        <v>0</v>
      </c>
      <c r="AK516" s="34">
        <f>IF(AN516=12,I516,0)</f>
        <v>0</v>
      </c>
      <c r="AL516" s="34">
        <f>IF(AN516=21,I516,0)</f>
        <v>0</v>
      </c>
      <c r="AN516" s="34">
        <v>21</v>
      </c>
      <c r="AO516" s="34">
        <f>H516*0</f>
        <v>0</v>
      </c>
      <c r="AP516" s="34">
        <f>H516*(1-0)</f>
        <v>0</v>
      </c>
      <c r="AQ516" s="65" t="s">
        <v>175</v>
      </c>
      <c r="AV516" s="34">
        <f>ROUND(AW516+AX516,2)</f>
        <v>0</v>
      </c>
      <c r="AW516" s="34">
        <f>ROUND(G516*AO516,2)</f>
        <v>0</v>
      </c>
      <c r="AX516" s="34">
        <f>ROUND(G516*AP516,2)</f>
        <v>0</v>
      </c>
      <c r="AY516" s="65" t="s">
        <v>970</v>
      </c>
      <c r="AZ516" s="65" t="s">
        <v>802</v>
      </c>
      <c r="BA516" s="46" t="s">
        <v>136</v>
      </c>
      <c r="BC516" s="34">
        <f>AW516+AX516</f>
        <v>0</v>
      </c>
      <c r="BD516" s="34">
        <f>H516/(100-BE516)*100</f>
        <v>0</v>
      </c>
      <c r="BE516" s="34">
        <v>0</v>
      </c>
      <c r="BF516" s="34">
        <f>516</f>
        <v>516</v>
      </c>
      <c r="BH516" s="34">
        <f>G516*AO516</f>
        <v>0</v>
      </c>
      <c r="BI516" s="34">
        <f>G516*AP516</f>
        <v>0</v>
      </c>
      <c r="BJ516" s="34">
        <f>G516*H516</f>
        <v>0</v>
      </c>
      <c r="BK516" s="34"/>
      <c r="BL516" s="34">
        <v>713</v>
      </c>
      <c r="BW516" s="34">
        <v>21</v>
      </c>
      <c r="BX516" s="3" t="s">
        <v>996</v>
      </c>
    </row>
    <row r="517" spans="1:76" x14ac:dyDescent="0.25">
      <c r="A517" s="66"/>
      <c r="D517" s="67" t="s">
        <v>997</v>
      </c>
      <c r="E517" s="67" t="s">
        <v>998</v>
      </c>
      <c r="G517" s="68">
        <v>450</v>
      </c>
      <c r="K517" s="59"/>
    </row>
    <row r="518" spans="1:76" x14ac:dyDescent="0.25">
      <c r="A518" s="66"/>
      <c r="D518" s="67" t="s">
        <v>999</v>
      </c>
      <c r="E518" s="67" t="s">
        <v>1000</v>
      </c>
      <c r="G518" s="68">
        <v>34.5</v>
      </c>
      <c r="K518" s="59"/>
    </row>
    <row r="519" spans="1:76" x14ac:dyDescent="0.25">
      <c r="A519" s="1" t="s">
        <v>1001</v>
      </c>
      <c r="B519" s="2" t="s">
        <v>84</v>
      </c>
      <c r="C519" s="2" t="s">
        <v>1002</v>
      </c>
      <c r="D519" s="86" t="s">
        <v>1003</v>
      </c>
      <c r="E519" s="81"/>
      <c r="F519" s="2" t="s">
        <v>132</v>
      </c>
      <c r="G519" s="34">
        <v>157.5</v>
      </c>
      <c r="H519" s="64">
        <v>0</v>
      </c>
      <c r="I519" s="34">
        <f>ROUND(G519*H519,2)</f>
        <v>0</v>
      </c>
      <c r="J519" s="65" t="s">
        <v>133</v>
      </c>
      <c r="K519" s="59"/>
      <c r="Z519" s="34">
        <f>ROUND(IF(AQ519="5",BJ519,0),2)</f>
        <v>0</v>
      </c>
      <c r="AB519" s="34">
        <f>ROUND(IF(AQ519="1",BH519,0),2)</f>
        <v>0</v>
      </c>
      <c r="AC519" s="34">
        <f>ROUND(IF(AQ519="1",BI519,0),2)</f>
        <v>0</v>
      </c>
      <c r="AD519" s="34">
        <f>ROUND(IF(AQ519="7",BH519,0),2)</f>
        <v>0</v>
      </c>
      <c r="AE519" s="34">
        <f>ROUND(IF(AQ519="7",BI519,0),2)</f>
        <v>0</v>
      </c>
      <c r="AF519" s="34">
        <f>ROUND(IF(AQ519="2",BH519,0),2)</f>
        <v>0</v>
      </c>
      <c r="AG519" s="34">
        <f>ROUND(IF(AQ519="2",BI519,0),2)</f>
        <v>0</v>
      </c>
      <c r="AH519" s="34">
        <f>ROUND(IF(AQ519="0",BJ519,0),2)</f>
        <v>0</v>
      </c>
      <c r="AI519" s="46" t="s">
        <v>84</v>
      </c>
      <c r="AJ519" s="34">
        <f>IF(AN519=0,I519,0)</f>
        <v>0</v>
      </c>
      <c r="AK519" s="34">
        <f>IF(AN519=12,I519,0)</f>
        <v>0</v>
      </c>
      <c r="AL519" s="34">
        <f>IF(AN519=21,I519,0)</f>
        <v>0</v>
      </c>
      <c r="AN519" s="34">
        <v>21</v>
      </c>
      <c r="AO519" s="34">
        <f>H519*1</f>
        <v>0</v>
      </c>
      <c r="AP519" s="34">
        <f>H519*(1-1)</f>
        <v>0</v>
      </c>
      <c r="AQ519" s="65" t="s">
        <v>175</v>
      </c>
      <c r="AV519" s="34">
        <f>ROUND(AW519+AX519,2)</f>
        <v>0</v>
      </c>
      <c r="AW519" s="34">
        <f>ROUND(G519*AO519,2)</f>
        <v>0</v>
      </c>
      <c r="AX519" s="34">
        <f>ROUND(G519*AP519,2)</f>
        <v>0</v>
      </c>
      <c r="AY519" s="65" t="s">
        <v>970</v>
      </c>
      <c r="AZ519" s="65" t="s">
        <v>802</v>
      </c>
      <c r="BA519" s="46" t="s">
        <v>136</v>
      </c>
      <c r="BC519" s="34">
        <f>AW519+AX519</f>
        <v>0</v>
      </c>
      <c r="BD519" s="34">
        <f>H519/(100-BE519)*100</f>
        <v>0</v>
      </c>
      <c r="BE519" s="34">
        <v>0</v>
      </c>
      <c r="BF519" s="34">
        <f>519</f>
        <v>519</v>
      </c>
      <c r="BH519" s="34">
        <f>G519*AO519</f>
        <v>0</v>
      </c>
      <c r="BI519" s="34">
        <f>G519*AP519</f>
        <v>0</v>
      </c>
      <c r="BJ519" s="34">
        <f>G519*H519</f>
        <v>0</v>
      </c>
      <c r="BK519" s="34"/>
      <c r="BL519" s="34">
        <v>713</v>
      </c>
      <c r="BW519" s="34">
        <v>21</v>
      </c>
      <c r="BX519" s="3" t="s">
        <v>1003</v>
      </c>
    </row>
    <row r="520" spans="1:76" x14ac:dyDescent="0.25">
      <c r="A520" s="66"/>
      <c r="D520" s="67" t="s">
        <v>1004</v>
      </c>
      <c r="E520" s="67" t="s">
        <v>4</v>
      </c>
      <c r="G520" s="68">
        <v>157.5</v>
      </c>
      <c r="K520" s="59"/>
    </row>
    <row r="521" spans="1:76" x14ac:dyDescent="0.25">
      <c r="A521" s="1" t="s">
        <v>1005</v>
      </c>
      <c r="B521" s="2" t="s">
        <v>84</v>
      </c>
      <c r="C521" s="2" t="s">
        <v>1006</v>
      </c>
      <c r="D521" s="86" t="s">
        <v>1007</v>
      </c>
      <c r="E521" s="81"/>
      <c r="F521" s="2" t="s">
        <v>132</v>
      </c>
      <c r="G521" s="34">
        <v>315</v>
      </c>
      <c r="H521" s="64">
        <v>0</v>
      </c>
      <c r="I521" s="34">
        <f>ROUND(G521*H521,2)</f>
        <v>0</v>
      </c>
      <c r="J521" s="65" t="s">
        <v>133</v>
      </c>
      <c r="K521" s="59"/>
      <c r="Z521" s="34">
        <f>ROUND(IF(AQ521="5",BJ521,0),2)</f>
        <v>0</v>
      </c>
      <c r="AB521" s="34">
        <f>ROUND(IF(AQ521="1",BH521,0),2)</f>
        <v>0</v>
      </c>
      <c r="AC521" s="34">
        <f>ROUND(IF(AQ521="1",BI521,0),2)</f>
        <v>0</v>
      </c>
      <c r="AD521" s="34">
        <f>ROUND(IF(AQ521="7",BH521,0),2)</f>
        <v>0</v>
      </c>
      <c r="AE521" s="34">
        <f>ROUND(IF(AQ521="7",BI521,0),2)</f>
        <v>0</v>
      </c>
      <c r="AF521" s="34">
        <f>ROUND(IF(AQ521="2",BH521,0),2)</f>
        <v>0</v>
      </c>
      <c r="AG521" s="34">
        <f>ROUND(IF(AQ521="2",BI521,0),2)</f>
        <v>0</v>
      </c>
      <c r="AH521" s="34">
        <f>ROUND(IF(AQ521="0",BJ521,0),2)</f>
        <v>0</v>
      </c>
      <c r="AI521" s="46" t="s">
        <v>84</v>
      </c>
      <c r="AJ521" s="34">
        <f>IF(AN521=0,I521,0)</f>
        <v>0</v>
      </c>
      <c r="AK521" s="34">
        <f>IF(AN521=12,I521,0)</f>
        <v>0</v>
      </c>
      <c r="AL521" s="34">
        <f>IF(AN521=21,I521,0)</f>
        <v>0</v>
      </c>
      <c r="AN521" s="34">
        <v>21</v>
      </c>
      <c r="AO521" s="34">
        <f>H521*1</f>
        <v>0</v>
      </c>
      <c r="AP521" s="34">
        <f>H521*(1-1)</f>
        <v>0</v>
      </c>
      <c r="AQ521" s="65" t="s">
        <v>175</v>
      </c>
      <c r="AV521" s="34">
        <f>ROUND(AW521+AX521,2)</f>
        <v>0</v>
      </c>
      <c r="AW521" s="34">
        <f>ROUND(G521*AO521,2)</f>
        <v>0</v>
      </c>
      <c r="AX521" s="34">
        <f>ROUND(G521*AP521,2)</f>
        <v>0</v>
      </c>
      <c r="AY521" s="65" t="s">
        <v>970</v>
      </c>
      <c r="AZ521" s="65" t="s">
        <v>802</v>
      </c>
      <c r="BA521" s="46" t="s">
        <v>136</v>
      </c>
      <c r="BC521" s="34">
        <f>AW521+AX521</f>
        <v>0</v>
      </c>
      <c r="BD521" s="34">
        <f>H521/(100-BE521)*100</f>
        <v>0</v>
      </c>
      <c r="BE521" s="34">
        <v>0</v>
      </c>
      <c r="BF521" s="34">
        <f>521</f>
        <v>521</v>
      </c>
      <c r="BH521" s="34">
        <f>G521*AO521</f>
        <v>0</v>
      </c>
      <c r="BI521" s="34">
        <f>G521*AP521</f>
        <v>0</v>
      </c>
      <c r="BJ521" s="34">
        <f>G521*H521</f>
        <v>0</v>
      </c>
      <c r="BK521" s="34"/>
      <c r="BL521" s="34">
        <v>713</v>
      </c>
      <c r="BW521" s="34">
        <v>21</v>
      </c>
      <c r="BX521" s="3" t="s">
        <v>1007</v>
      </c>
    </row>
    <row r="522" spans="1:76" x14ac:dyDescent="0.25">
      <c r="A522" s="66"/>
      <c r="D522" s="67" t="s">
        <v>1004</v>
      </c>
      <c r="E522" s="67" t="s">
        <v>1008</v>
      </c>
      <c r="G522" s="68">
        <v>157.5</v>
      </c>
      <c r="K522" s="59"/>
    </row>
    <row r="523" spans="1:76" x14ac:dyDescent="0.25">
      <c r="A523" s="66"/>
      <c r="D523" s="67" t="s">
        <v>1004</v>
      </c>
      <c r="E523" s="67" t="s">
        <v>1009</v>
      </c>
      <c r="G523" s="68">
        <v>157.5</v>
      </c>
      <c r="K523" s="59"/>
    </row>
    <row r="524" spans="1:76" x14ac:dyDescent="0.25">
      <c r="A524" s="1" t="s">
        <v>1010</v>
      </c>
      <c r="B524" s="2" t="s">
        <v>84</v>
      </c>
      <c r="C524" s="2" t="s">
        <v>1011</v>
      </c>
      <c r="D524" s="86" t="s">
        <v>1012</v>
      </c>
      <c r="E524" s="81"/>
      <c r="F524" s="2" t="s">
        <v>132</v>
      </c>
      <c r="G524" s="34">
        <v>10</v>
      </c>
      <c r="H524" s="64">
        <v>0</v>
      </c>
      <c r="I524" s="34">
        <f>ROUND(G524*H524,2)</f>
        <v>0</v>
      </c>
      <c r="J524" s="65" t="s">
        <v>133</v>
      </c>
      <c r="K524" s="59"/>
      <c r="Z524" s="34">
        <f>ROUND(IF(AQ524="5",BJ524,0),2)</f>
        <v>0</v>
      </c>
      <c r="AB524" s="34">
        <f>ROUND(IF(AQ524="1",BH524,0),2)</f>
        <v>0</v>
      </c>
      <c r="AC524" s="34">
        <f>ROUND(IF(AQ524="1",BI524,0),2)</f>
        <v>0</v>
      </c>
      <c r="AD524" s="34">
        <f>ROUND(IF(AQ524="7",BH524,0),2)</f>
        <v>0</v>
      </c>
      <c r="AE524" s="34">
        <f>ROUND(IF(AQ524="7",BI524,0),2)</f>
        <v>0</v>
      </c>
      <c r="AF524" s="34">
        <f>ROUND(IF(AQ524="2",BH524,0),2)</f>
        <v>0</v>
      </c>
      <c r="AG524" s="34">
        <f>ROUND(IF(AQ524="2",BI524,0),2)</f>
        <v>0</v>
      </c>
      <c r="AH524" s="34">
        <f>ROUND(IF(AQ524="0",BJ524,0),2)</f>
        <v>0</v>
      </c>
      <c r="AI524" s="46" t="s">
        <v>84</v>
      </c>
      <c r="AJ524" s="34">
        <f>IF(AN524=0,I524,0)</f>
        <v>0</v>
      </c>
      <c r="AK524" s="34">
        <f>IF(AN524=12,I524,0)</f>
        <v>0</v>
      </c>
      <c r="AL524" s="34">
        <f>IF(AN524=21,I524,0)</f>
        <v>0</v>
      </c>
      <c r="AN524" s="34">
        <v>21</v>
      </c>
      <c r="AO524" s="34">
        <f>H524*1</f>
        <v>0</v>
      </c>
      <c r="AP524" s="34">
        <f>H524*(1-1)</f>
        <v>0</v>
      </c>
      <c r="AQ524" s="65" t="s">
        <v>175</v>
      </c>
      <c r="AV524" s="34">
        <f>ROUND(AW524+AX524,2)</f>
        <v>0</v>
      </c>
      <c r="AW524" s="34">
        <f>ROUND(G524*AO524,2)</f>
        <v>0</v>
      </c>
      <c r="AX524" s="34">
        <f>ROUND(G524*AP524,2)</f>
        <v>0</v>
      </c>
      <c r="AY524" s="65" t="s">
        <v>970</v>
      </c>
      <c r="AZ524" s="65" t="s">
        <v>802</v>
      </c>
      <c r="BA524" s="46" t="s">
        <v>136</v>
      </c>
      <c r="BC524" s="34">
        <f>AW524+AX524</f>
        <v>0</v>
      </c>
      <c r="BD524" s="34">
        <f>H524/(100-BE524)*100</f>
        <v>0</v>
      </c>
      <c r="BE524" s="34">
        <v>0</v>
      </c>
      <c r="BF524" s="34">
        <f>524</f>
        <v>524</v>
      </c>
      <c r="BH524" s="34">
        <f>G524*AO524</f>
        <v>0</v>
      </c>
      <c r="BI524" s="34">
        <f>G524*AP524</f>
        <v>0</v>
      </c>
      <c r="BJ524" s="34">
        <f>G524*H524</f>
        <v>0</v>
      </c>
      <c r="BK524" s="34"/>
      <c r="BL524" s="34">
        <v>713</v>
      </c>
      <c r="BW524" s="34">
        <v>21</v>
      </c>
      <c r="BX524" s="3" t="s">
        <v>1012</v>
      </c>
    </row>
    <row r="525" spans="1:76" x14ac:dyDescent="0.25">
      <c r="A525" s="66"/>
      <c r="D525" s="67" t="s">
        <v>1013</v>
      </c>
      <c r="E525" s="67" t="s">
        <v>1014</v>
      </c>
      <c r="G525" s="68">
        <v>10</v>
      </c>
      <c r="K525" s="59"/>
    </row>
    <row r="526" spans="1:76" x14ac:dyDescent="0.25">
      <c r="A526" s="1" t="s">
        <v>1015</v>
      </c>
      <c r="B526" s="2" t="s">
        <v>84</v>
      </c>
      <c r="C526" s="2" t="s">
        <v>1011</v>
      </c>
      <c r="D526" s="86" t="s">
        <v>1016</v>
      </c>
      <c r="E526" s="81"/>
      <c r="F526" s="2" t="s">
        <v>132</v>
      </c>
      <c r="G526" s="34">
        <v>11.445</v>
      </c>
      <c r="H526" s="64">
        <v>0</v>
      </c>
      <c r="I526" s="34">
        <f>ROUND(G526*H526,2)</f>
        <v>0</v>
      </c>
      <c r="J526" s="65" t="s">
        <v>133</v>
      </c>
      <c r="K526" s="59"/>
      <c r="Z526" s="34">
        <f>ROUND(IF(AQ526="5",BJ526,0),2)</f>
        <v>0</v>
      </c>
      <c r="AB526" s="34">
        <f>ROUND(IF(AQ526="1",BH526,0),2)</f>
        <v>0</v>
      </c>
      <c r="AC526" s="34">
        <f>ROUND(IF(AQ526="1",BI526,0),2)</f>
        <v>0</v>
      </c>
      <c r="AD526" s="34">
        <f>ROUND(IF(AQ526="7",BH526,0),2)</f>
        <v>0</v>
      </c>
      <c r="AE526" s="34">
        <f>ROUND(IF(AQ526="7",BI526,0),2)</f>
        <v>0</v>
      </c>
      <c r="AF526" s="34">
        <f>ROUND(IF(AQ526="2",BH526,0),2)</f>
        <v>0</v>
      </c>
      <c r="AG526" s="34">
        <f>ROUND(IF(AQ526="2",BI526,0),2)</f>
        <v>0</v>
      </c>
      <c r="AH526" s="34">
        <f>ROUND(IF(AQ526="0",BJ526,0),2)</f>
        <v>0</v>
      </c>
      <c r="AI526" s="46" t="s">
        <v>84</v>
      </c>
      <c r="AJ526" s="34">
        <f>IF(AN526=0,I526,0)</f>
        <v>0</v>
      </c>
      <c r="AK526" s="34">
        <f>IF(AN526=12,I526,0)</f>
        <v>0</v>
      </c>
      <c r="AL526" s="34">
        <f>IF(AN526=21,I526,0)</f>
        <v>0</v>
      </c>
      <c r="AN526" s="34">
        <v>21</v>
      </c>
      <c r="AO526" s="34">
        <f>H526*1</f>
        <v>0</v>
      </c>
      <c r="AP526" s="34">
        <f>H526*(1-1)</f>
        <v>0</v>
      </c>
      <c r="AQ526" s="65" t="s">
        <v>175</v>
      </c>
      <c r="AV526" s="34">
        <f>ROUND(AW526+AX526,2)</f>
        <v>0</v>
      </c>
      <c r="AW526" s="34">
        <f>ROUND(G526*AO526,2)</f>
        <v>0</v>
      </c>
      <c r="AX526" s="34">
        <f>ROUND(G526*AP526,2)</f>
        <v>0</v>
      </c>
      <c r="AY526" s="65" t="s">
        <v>970</v>
      </c>
      <c r="AZ526" s="65" t="s">
        <v>802</v>
      </c>
      <c r="BA526" s="46" t="s">
        <v>136</v>
      </c>
      <c r="BC526" s="34">
        <f>AW526+AX526</f>
        <v>0</v>
      </c>
      <c r="BD526" s="34">
        <f>H526/(100-BE526)*100</f>
        <v>0</v>
      </c>
      <c r="BE526" s="34">
        <v>0</v>
      </c>
      <c r="BF526" s="34">
        <f>526</f>
        <v>526</v>
      </c>
      <c r="BH526" s="34">
        <f>G526*AO526</f>
        <v>0</v>
      </c>
      <c r="BI526" s="34">
        <f>G526*AP526</f>
        <v>0</v>
      </c>
      <c r="BJ526" s="34">
        <f>G526*H526</f>
        <v>0</v>
      </c>
      <c r="BK526" s="34"/>
      <c r="BL526" s="34">
        <v>713</v>
      </c>
      <c r="BW526" s="34">
        <v>21</v>
      </c>
      <c r="BX526" s="3" t="s">
        <v>1016</v>
      </c>
    </row>
    <row r="527" spans="1:76" x14ac:dyDescent="0.25">
      <c r="A527" s="66"/>
      <c r="D527" s="67" t="s">
        <v>1017</v>
      </c>
      <c r="E527" s="67" t="s">
        <v>1018</v>
      </c>
      <c r="G527" s="68">
        <v>11.445</v>
      </c>
      <c r="K527" s="59"/>
    </row>
    <row r="528" spans="1:76" x14ac:dyDescent="0.25">
      <c r="A528" s="1" t="s">
        <v>1019</v>
      </c>
      <c r="B528" s="2" t="s">
        <v>84</v>
      </c>
      <c r="C528" s="2" t="s">
        <v>1020</v>
      </c>
      <c r="D528" s="86" t="s">
        <v>1021</v>
      </c>
      <c r="E528" s="81"/>
      <c r="F528" s="2" t="s">
        <v>132</v>
      </c>
      <c r="G528" s="34">
        <v>24.78</v>
      </c>
      <c r="H528" s="64">
        <v>0</v>
      </c>
      <c r="I528" s="34">
        <f>ROUND(G528*H528,2)</f>
        <v>0</v>
      </c>
      <c r="J528" s="65" t="s">
        <v>133</v>
      </c>
      <c r="K528" s="59"/>
      <c r="Z528" s="34">
        <f>ROUND(IF(AQ528="5",BJ528,0),2)</f>
        <v>0</v>
      </c>
      <c r="AB528" s="34">
        <f>ROUND(IF(AQ528="1",BH528,0),2)</f>
        <v>0</v>
      </c>
      <c r="AC528" s="34">
        <f>ROUND(IF(AQ528="1",BI528,0),2)</f>
        <v>0</v>
      </c>
      <c r="AD528" s="34">
        <f>ROUND(IF(AQ528="7",BH528,0),2)</f>
        <v>0</v>
      </c>
      <c r="AE528" s="34">
        <f>ROUND(IF(AQ528="7",BI528,0),2)</f>
        <v>0</v>
      </c>
      <c r="AF528" s="34">
        <f>ROUND(IF(AQ528="2",BH528,0),2)</f>
        <v>0</v>
      </c>
      <c r="AG528" s="34">
        <f>ROUND(IF(AQ528="2",BI528,0),2)</f>
        <v>0</v>
      </c>
      <c r="AH528" s="34">
        <f>ROUND(IF(AQ528="0",BJ528,0),2)</f>
        <v>0</v>
      </c>
      <c r="AI528" s="46" t="s">
        <v>84</v>
      </c>
      <c r="AJ528" s="34">
        <f>IF(AN528=0,I528,0)</f>
        <v>0</v>
      </c>
      <c r="AK528" s="34">
        <f>IF(AN528=12,I528,0)</f>
        <v>0</v>
      </c>
      <c r="AL528" s="34">
        <f>IF(AN528=21,I528,0)</f>
        <v>0</v>
      </c>
      <c r="AN528" s="34">
        <v>21</v>
      </c>
      <c r="AO528" s="34">
        <f>H528*1</f>
        <v>0</v>
      </c>
      <c r="AP528" s="34">
        <f>H528*(1-1)</f>
        <v>0</v>
      </c>
      <c r="AQ528" s="65" t="s">
        <v>175</v>
      </c>
      <c r="AV528" s="34">
        <f>ROUND(AW528+AX528,2)</f>
        <v>0</v>
      </c>
      <c r="AW528" s="34">
        <f>ROUND(G528*AO528,2)</f>
        <v>0</v>
      </c>
      <c r="AX528" s="34">
        <f>ROUND(G528*AP528,2)</f>
        <v>0</v>
      </c>
      <c r="AY528" s="65" t="s">
        <v>970</v>
      </c>
      <c r="AZ528" s="65" t="s">
        <v>802</v>
      </c>
      <c r="BA528" s="46" t="s">
        <v>136</v>
      </c>
      <c r="BC528" s="34">
        <f>AW528+AX528</f>
        <v>0</v>
      </c>
      <c r="BD528" s="34">
        <f>H528/(100-BE528)*100</f>
        <v>0</v>
      </c>
      <c r="BE528" s="34">
        <v>0</v>
      </c>
      <c r="BF528" s="34">
        <f>528</f>
        <v>528</v>
      </c>
      <c r="BH528" s="34">
        <f>G528*AO528</f>
        <v>0</v>
      </c>
      <c r="BI528" s="34">
        <f>G528*AP528</f>
        <v>0</v>
      </c>
      <c r="BJ528" s="34">
        <f>G528*H528</f>
        <v>0</v>
      </c>
      <c r="BK528" s="34"/>
      <c r="BL528" s="34">
        <v>713</v>
      </c>
      <c r="BW528" s="34">
        <v>21</v>
      </c>
      <c r="BX528" s="3" t="s">
        <v>1021</v>
      </c>
    </row>
    <row r="529" spans="1:76" x14ac:dyDescent="0.25">
      <c r="A529" s="66"/>
      <c r="D529" s="67" t="s">
        <v>1022</v>
      </c>
      <c r="E529" s="67" t="s">
        <v>1023</v>
      </c>
      <c r="G529" s="68">
        <v>24.78</v>
      </c>
      <c r="K529" s="59"/>
    </row>
    <row r="530" spans="1:76" x14ac:dyDescent="0.25">
      <c r="A530" s="1" t="s">
        <v>1024</v>
      </c>
      <c r="B530" s="2" t="s">
        <v>84</v>
      </c>
      <c r="C530" s="2" t="s">
        <v>1025</v>
      </c>
      <c r="D530" s="86" t="s">
        <v>1026</v>
      </c>
      <c r="E530" s="81"/>
      <c r="F530" s="2" t="s">
        <v>132</v>
      </c>
      <c r="G530" s="34">
        <v>160.9</v>
      </c>
      <c r="H530" s="64">
        <v>0</v>
      </c>
      <c r="I530" s="34">
        <f>ROUND(G530*H530,2)</f>
        <v>0</v>
      </c>
      <c r="J530" s="65" t="s">
        <v>133</v>
      </c>
      <c r="K530" s="59"/>
      <c r="Z530" s="34">
        <f>ROUND(IF(AQ530="5",BJ530,0),2)</f>
        <v>0</v>
      </c>
      <c r="AB530" s="34">
        <f>ROUND(IF(AQ530="1",BH530,0),2)</f>
        <v>0</v>
      </c>
      <c r="AC530" s="34">
        <f>ROUND(IF(AQ530="1",BI530,0),2)</f>
        <v>0</v>
      </c>
      <c r="AD530" s="34">
        <f>ROUND(IF(AQ530="7",BH530,0),2)</f>
        <v>0</v>
      </c>
      <c r="AE530" s="34">
        <f>ROUND(IF(AQ530="7",BI530,0),2)</f>
        <v>0</v>
      </c>
      <c r="AF530" s="34">
        <f>ROUND(IF(AQ530="2",BH530,0),2)</f>
        <v>0</v>
      </c>
      <c r="AG530" s="34">
        <f>ROUND(IF(AQ530="2",BI530,0),2)</f>
        <v>0</v>
      </c>
      <c r="AH530" s="34">
        <f>ROUND(IF(AQ530="0",BJ530,0),2)</f>
        <v>0</v>
      </c>
      <c r="AI530" s="46" t="s">
        <v>84</v>
      </c>
      <c r="AJ530" s="34">
        <f>IF(AN530=0,I530,0)</f>
        <v>0</v>
      </c>
      <c r="AK530" s="34">
        <f>IF(AN530=12,I530,0)</f>
        <v>0</v>
      </c>
      <c r="AL530" s="34">
        <f>IF(AN530=21,I530,0)</f>
        <v>0</v>
      </c>
      <c r="AN530" s="34">
        <v>21</v>
      </c>
      <c r="AO530" s="34">
        <f>H530*0.16586783</f>
        <v>0</v>
      </c>
      <c r="AP530" s="34">
        <f>H530*(1-0.16586783)</f>
        <v>0</v>
      </c>
      <c r="AQ530" s="65" t="s">
        <v>175</v>
      </c>
      <c r="AV530" s="34">
        <f>ROUND(AW530+AX530,2)</f>
        <v>0</v>
      </c>
      <c r="AW530" s="34">
        <f>ROUND(G530*AO530,2)</f>
        <v>0</v>
      </c>
      <c r="AX530" s="34">
        <f>ROUND(G530*AP530,2)</f>
        <v>0</v>
      </c>
      <c r="AY530" s="65" t="s">
        <v>970</v>
      </c>
      <c r="AZ530" s="65" t="s">
        <v>802</v>
      </c>
      <c r="BA530" s="46" t="s">
        <v>136</v>
      </c>
      <c r="BC530" s="34">
        <f>AW530+AX530</f>
        <v>0</v>
      </c>
      <c r="BD530" s="34">
        <f>H530/(100-BE530)*100</f>
        <v>0</v>
      </c>
      <c r="BE530" s="34">
        <v>0</v>
      </c>
      <c r="BF530" s="34">
        <f>530</f>
        <v>530</v>
      </c>
      <c r="BH530" s="34">
        <f>G530*AO530</f>
        <v>0</v>
      </c>
      <c r="BI530" s="34">
        <f>G530*AP530</f>
        <v>0</v>
      </c>
      <c r="BJ530" s="34">
        <f>G530*H530</f>
        <v>0</v>
      </c>
      <c r="BK530" s="34"/>
      <c r="BL530" s="34">
        <v>713</v>
      </c>
      <c r="BW530" s="34">
        <v>21</v>
      </c>
      <c r="BX530" s="3" t="s">
        <v>1026</v>
      </c>
    </row>
    <row r="531" spans="1:76" x14ac:dyDescent="0.25">
      <c r="A531" s="66"/>
      <c r="D531" s="67" t="s">
        <v>1027</v>
      </c>
      <c r="E531" s="67" t="s">
        <v>1028</v>
      </c>
      <c r="G531" s="68">
        <v>160.9</v>
      </c>
      <c r="K531" s="59"/>
    </row>
    <row r="532" spans="1:76" x14ac:dyDescent="0.25">
      <c r="A532" s="1" t="s">
        <v>1029</v>
      </c>
      <c r="B532" s="2" t="s">
        <v>84</v>
      </c>
      <c r="C532" s="2" t="s">
        <v>1030</v>
      </c>
      <c r="D532" s="86" t="s">
        <v>1031</v>
      </c>
      <c r="E532" s="81"/>
      <c r="F532" s="2" t="s">
        <v>132</v>
      </c>
      <c r="G532" s="34">
        <v>131</v>
      </c>
      <c r="H532" s="64">
        <v>0</v>
      </c>
      <c r="I532" s="34">
        <f>ROUND(G532*H532,2)</f>
        <v>0</v>
      </c>
      <c r="J532" s="65" t="s">
        <v>133</v>
      </c>
      <c r="K532" s="59"/>
      <c r="Z532" s="34">
        <f>ROUND(IF(AQ532="5",BJ532,0),2)</f>
        <v>0</v>
      </c>
      <c r="AB532" s="34">
        <f>ROUND(IF(AQ532="1",BH532,0),2)</f>
        <v>0</v>
      </c>
      <c r="AC532" s="34">
        <f>ROUND(IF(AQ532="1",BI532,0),2)</f>
        <v>0</v>
      </c>
      <c r="AD532" s="34">
        <f>ROUND(IF(AQ532="7",BH532,0),2)</f>
        <v>0</v>
      </c>
      <c r="AE532" s="34">
        <f>ROUND(IF(AQ532="7",BI532,0),2)</f>
        <v>0</v>
      </c>
      <c r="AF532" s="34">
        <f>ROUND(IF(AQ532="2",BH532,0),2)</f>
        <v>0</v>
      </c>
      <c r="AG532" s="34">
        <f>ROUND(IF(AQ532="2",BI532,0),2)</f>
        <v>0</v>
      </c>
      <c r="AH532" s="34">
        <f>ROUND(IF(AQ532="0",BJ532,0),2)</f>
        <v>0</v>
      </c>
      <c r="AI532" s="46" t="s">
        <v>84</v>
      </c>
      <c r="AJ532" s="34">
        <f>IF(AN532=0,I532,0)</f>
        <v>0</v>
      </c>
      <c r="AK532" s="34">
        <f>IF(AN532=12,I532,0)</f>
        <v>0</v>
      </c>
      <c r="AL532" s="34">
        <f>IF(AN532=21,I532,0)</f>
        <v>0</v>
      </c>
      <c r="AN532" s="34">
        <v>21</v>
      </c>
      <c r="AO532" s="34">
        <f>H532*0</f>
        <v>0</v>
      </c>
      <c r="AP532" s="34">
        <f>H532*(1-0)</f>
        <v>0</v>
      </c>
      <c r="AQ532" s="65" t="s">
        <v>175</v>
      </c>
      <c r="AV532" s="34">
        <f>ROUND(AW532+AX532,2)</f>
        <v>0</v>
      </c>
      <c r="AW532" s="34">
        <f>ROUND(G532*AO532,2)</f>
        <v>0</v>
      </c>
      <c r="AX532" s="34">
        <f>ROUND(G532*AP532,2)</f>
        <v>0</v>
      </c>
      <c r="AY532" s="65" t="s">
        <v>970</v>
      </c>
      <c r="AZ532" s="65" t="s">
        <v>802</v>
      </c>
      <c r="BA532" s="46" t="s">
        <v>136</v>
      </c>
      <c r="BC532" s="34">
        <f>AW532+AX532</f>
        <v>0</v>
      </c>
      <c r="BD532" s="34">
        <f>H532/(100-BE532)*100</f>
        <v>0</v>
      </c>
      <c r="BE532" s="34">
        <v>0</v>
      </c>
      <c r="BF532" s="34">
        <f>532</f>
        <v>532</v>
      </c>
      <c r="BH532" s="34">
        <f>G532*AO532</f>
        <v>0</v>
      </c>
      <c r="BI532" s="34">
        <f>G532*AP532</f>
        <v>0</v>
      </c>
      <c r="BJ532" s="34">
        <f>G532*H532</f>
        <v>0</v>
      </c>
      <c r="BK532" s="34"/>
      <c r="BL532" s="34">
        <v>713</v>
      </c>
      <c r="BW532" s="34">
        <v>21</v>
      </c>
      <c r="BX532" s="3" t="s">
        <v>1031</v>
      </c>
    </row>
    <row r="533" spans="1:76" ht="13.5" customHeight="1" x14ac:dyDescent="0.25">
      <c r="A533" s="66"/>
      <c r="C533" s="69" t="s">
        <v>204</v>
      </c>
      <c r="D533" s="169" t="s">
        <v>976</v>
      </c>
      <c r="E533" s="170"/>
      <c r="F533" s="170"/>
      <c r="G533" s="170"/>
      <c r="H533" s="171"/>
      <c r="I533" s="170"/>
      <c r="J533" s="170"/>
      <c r="K533" s="172"/>
    </row>
    <row r="534" spans="1:76" x14ac:dyDescent="0.25">
      <c r="A534" s="66"/>
      <c r="D534" s="67" t="s">
        <v>1032</v>
      </c>
      <c r="E534" s="67" t="s">
        <v>4</v>
      </c>
      <c r="G534" s="68">
        <v>131</v>
      </c>
      <c r="K534" s="59"/>
    </row>
    <row r="535" spans="1:76" x14ac:dyDescent="0.25">
      <c r="A535" s="1" t="s">
        <v>1033</v>
      </c>
      <c r="B535" s="2" t="s">
        <v>84</v>
      </c>
      <c r="C535" s="2" t="s">
        <v>1034</v>
      </c>
      <c r="D535" s="86" t="s">
        <v>1035</v>
      </c>
      <c r="E535" s="81"/>
      <c r="F535" s="2" t="s">
        <v>132</v>
      </c>
      <c r="G535" s="34">
        <v>137.55000000000001</v>
      </c>
      <c r="H535" s="64">
        <v>0</v>
      </c>
      <c r="I535" s="34">
        <f>ROUND(G535*H535,2)</f>
        <v>0</v>
      </c>
      <c r="J535" s="65" t="s">
        <v>133</v>
      </c>
      <c r="K535" s="59"/>
      <c r="Z535" s="34">
        <f>ROUND(IF(AQ535="5",BJ535,0),2)</f>
        <v>0</v>
      </c>
      <c r="AB535" s="34">
        <f>ROUND(IF(AQ535="1",BH535,0),2)</f>
        <v>0</v>
      </c>
      <c r="AC535" s="34">
        <f>ROUND(IF(AQ535="1",BI535,0),2)</f>
        <v>0</v>
      </c>
      <c r="AD535" s="34">
        <f>ROUND(IF(AQ535="7",BH535,0),2)</f>
        <v>0</v>
      </c>
      <c r="AE535" s="34">
        <f>ROUND(IF(AQ535="7",BI535,0),2)</f>
        <v>0</v>
      </c>
      <c r="AF535" s="34">
        <f>ROUND(IF(AQ535="2",BH535,0),2)</f>
        <v>0</v>
      </c>
      <c r="AG535" s="34">
        <f>ROUND(IF(AQ535="2",BI535,0),2)</f>
        <v>0</v>
      </c>
      <c r="AH535" s="34">
        <f>ROUND(IF(AQ535="0",BJ535,0),2)</f>
        <v>0</v>
      </c>
      <c r="AI535" s="46" t="s">
        <v>84</v>
      </c>
      <c r="AJ535" s="34">
        <f>IF(AN535=0,I535,0)</f>
        <v>0</v>
      </c>
      <c r="AK535" s="34">
        <f>IF(AN535=12,I535,0)</f>
        <v>0</v>
      </c>
      <c r="AL535" s="34">
        <f>IF(AN535=21,I535,0)</f>
        <v>0</v>
      </c>
      <c r="AN535" s="34">
        <v>21</v>
      </c>
      <c r="AO535" s="34">
        <f>H535*1</f>
        <v>0</v>
      </c>
      <c r="AP535" s="34">
        <f>H535*(1-1)</f>
        <v>0</v>
      </c>
      <c r="AQ535" s="65" t="s">
        <v>175</v>
      </c>
      <c r="AV535" s="34">
        <f>ROUND(AW535+AX535,2)</f>
        <v>0</v>
      </c>
      <c r="AW535" s="34">
        <f>ROUND(G535*AO535,2)</f>
        <v>0</v>
      </c>
      <c r="AX535" s="34">
        <f>ROUND(G535*AP535,2)</f>
        <v>0</v>
      </c>
      <c r="AY535" s="65" t="s">
        <v>970</v>
      </c>
      <c r="AZ535" s="65" t="s">
        <v>802</v>
      </c>
      <c r="BA535" s="46" t="s">
        <v>136</v>
      </c>
      <c r="BC535" s="34">
        <f>AW535+AX535</f>
        <v>0</v>
      </c>
      <c r="BD535" s="34">
        <f>H535/(100-BE535)*100</f>
        <v>0</v>
      </c>
      <c r="BE535" s="34">
        <v>0</v>
      </c>
      <c r="BF535" s="34">
        <f>535</f>
        <v>535</v>
      </c>
      <c r="BH535" s="34">
        <f>G535*AO535</f>
        <v>0</v>
      </c>
      <c r="BI535" s="34">
        <f>G535*AP535</f>
        <v>0</v>
      </c>
      <c r="BJ535" s="34">
        <f>G535*H535</f>
        <v>0</v>
      </c>
      <c r="BK535" s="34"/>
      <c r="BL535" s="34">
        <v>713</v>
      </c>
      <c r="BW535" s="34">
        <v>21</v>
      </c>
      <c r="BX535" s="3" t="s">
        <v>1035</v>
      </c>
    </row>
    <row r="536" spans="1:76" x14ac:dyDescent="0.25">
      <c r="A536" s="66"/>
      <c r="D536" s="67" t="s">
        <v>1036</v>
      </c>
      <c r="E536" s="67" t="s">
        <v>1037</v>
      </c>
      <c r="G536" s="68">
        <v>19.95</v>
      </c>
      <c r="K536" s="59"/>
    </row>
    <row r="537" spans="1:76" x14ac:dyDescent="0.25">
      <c r="A537" s="66"/>
      <c r="D537" s="67" t="s">
        <v>1038</v>
      </c>
      <c r="E537" s="67" t="s">
        <v>1039</v>
      </c>
      <c r="G537" s="68">
        <v>115.5</v>
      </c>
      <c r="K537" s="59"/>
    </row>
    <row r="538" spans="1:76" x14ac:dyDescent="0.25">
      <c r="A538" s="66"/>
      <c r="D538" s="67" t="s">
        <v>1040</v>
      </c>
      <c r="E538" s="67" t="s">
        <v>1041</v>
      </c>
      <c r="G538" s="68">
        <v>2.1</v>
      </c>
      <c r="K538" s="59"/>
    </row>
    <row r="539" spans="1:76" x14ac:dyDescent="0.25">
      <c r="A539" s="1" t="s">
        <v>1042</v>
      </c>
      <c r="B539" s="2" t="s">
        <v>84</v>
      </c>
      <c r="C539" s="2" t="s">
        <v>1043</v>
      </c>
      <c r="D539" s="86" t="s">
        <v>1044</v>
      </c>
      <c r="E539" s="81"/>
      <c r="F539" s="2" t="s">
        <v>132</v>
      </c>
      <c r="G539" s="34">
        <v>160</v>
      </c>
      <c r="H539" s="64">
        <v>0</v>
      </c>
      <c r="I539" s="34">
        <f>ROUND(G539*H539,2)</f>
        <v>0</v>
      </c>
      <c r="J539" s="65" t="s">
        <v>133</v>
      </c>
      <c r="K539" s="59"/>
      <c r="Z539" s="34">
        <f>ROUND(IF(AQ539="5",BJ539,0),2)</f>
        <v>0</v>
      </c>
      <c r="AB539" s="34">
        <f>ROUND(IF(AQ539="1",BH539,0),2)</f>
        <v>0</v>
      </c>
      <c r="AC539" s="34">
        <f>ROUND(IF(AQ539="1",BI539,0),2)</f>
        <v>0</v>
      </c>
      <c r="AD539" s="34">
        <f>ROUND(IF(AQ539="7",BH539,0),2)</f>
        <v>0</v>
      </c>
      <c r="AE539" s="34">
        <f>ROUND(IF(AQ539="7",BI539,0),2)</f>
        <v>0</v>
      </c>
      <c r="AF539" s="34">
        <f>ROUND(IF(AQ539="2",BH539,0),2)</f>
        <v>0</v>
      </c>
      <c r="AG539" s="34">
        <f>ROUND(IF(AQ539="2",BI539,0),2)</f>
        <v>0</v>
      </c>
      <c r="AH539" s="34">
        <f>ROUND(IF(AQ539="0",BJ539,0),2)</f>
        <v>0</v>
      </c>
      <c r="AI539" s="46" t="s">
        <v>84</v>
      </c>
      <c r="AJ539" s="34">
        <f>IF(AN539=0,I539,0)</f>
        <v>0</v>
      </c>
      <c r="AK539" s="34">
        <f>IF(AN539=12,I539,0)</f>
        <v>0</v>
      </c>
      <c r="AL539" s="34">
        <f>IF(AN539=21,I539,0)</f>
        <v>0</v>
      </c>
      <c r="AN539" s="34">
        <v>21</v>
      </c>
      <c r="AO539" s="34">
        <f>H539*0.301463415</f>
        <v>0</v>
      </c>
      <c r="AP539" s="34">
        <f>H539*(1-0.301463415)</f>
        <v>0</v>
      </c>
      <c r="AQ539" s="65" t="s">
        <v>175</v>
      </c>
      <c r="AV539" s="34">
        <f>ROUND(AW539+AX539,2)</f>
        <v>0</v>
      </c>
      <c r="AW539" s="34">
        <f>ROUND(G539*AO539,2)</f>
        <v>0</v>
      </c>
      <c r="AX539" s="34">
        <f>ROUND(G539*AP539,2)</f>
        <v>0</v>
      </c>
      <c r="AY539" s="65" t="s">
        <v>970</v>
      </c>
      <c r="AZ539" s="65" t="s">
        <v>802</v>
      </c>
      <c r="BA539" s="46" t="s">
        <v>136</v>
      </c>
      <c r="BC539" s="34">
        <f>AW539+AX539</f>
        <v>0</v>
      </c>
      <c r="BD539" s="34">
        <f>H539/(100-BE539)*100</f>
        <v>0</v>
      </c>
      <c r="BE539" s="34">
        <v>0</v>
      </c>
      <c r="BF539" s="34">
        <f>539</f>
        <v>539</v>
      </c>
      <c r="BH539" s="34">
        <f>G539*AO539</f>
        <v>0</v>
      </c>
      <c r="BI539" s="34">
        <f>G539*AP539</f>
        <v>0</v>
      </c>
      <c r="BJ539" s="34">
        <f>G539*H539</f>
        <v>0</v>
      </c>
      <c r="BK539" s="34"/>
      <c r="BL539" s="34">
        <v>713</v>
      </c>
      <c r="BW539" s="34">
        <v>21</v>
      </c>
      <c r="BX539" s="3" t="s">
        <v>1044</v>
      </c>
    </row>
    <row r="540" spans="1:76" ht="13.5" customHeight="1" x14ac:dyDescent="0.25">
      <c r="A540" s="66"/>
      <c r="C540" s="69" t="s">
        <v>204</v>
      </c>
      <c r="D540" s="169" t="s">
        <v>1045</v>
      </c>
      <c r="E540" s="170"/>
      <c r="F540" s="170"/>
      <c r="G540" s="170"/>
      <c r="H540" s="171"/>
      <c r="I540" s="170"/>
      <c r="J540" s="170"/>
      <c r="K540" s="172"/>
    </row>
    <row r="541" spans="1:76" x14ac:dyDescent="0.25">
      <c r="A541" s="66"/>
      <c r="D541" s="67" t="s">
        <v>854</v>
      </c>
      <c r="E541" s="67" t="s">
        <v>4</v>
      </c>
      <c r="G541" s="68">
        <v>160</v>
      </c>
      <c r="K541" s="59"/>
    </row>
    <row r="542" spans="1:76" x14ac:dyDescent="0.25">
      <c r="A542" s="1" t="s">
        <v>1046</v>
      </c>
      <c r="B542" s="2" t="s">
        <v>84</v>
      </c>
      <c r="C542" s="2" t="s">
        <v>1047</v>
      </c>
      <c r="D542" s="86" t="s">
        <v>1048</v>
      </c>
      <c r="E542" s="81"/>
      <c r="F542" s="2" t="s">
        <v>239</v>
      </c>
      <c r="G542" s="34">
        <v>700</v>
      </c>
      <c r="H542" s="64">
        <v>0</v>
      </c>
      <c r="I542" s="34">
        <f>ROUND(G542*H542,2)</f>
        <v>0</v>
      </c>
      <c r="J542" s="65" t="s">
        <v>133</v>
      </c>
      <c r="K542" s="59"/>
      <c r="Z542" s="34">
        <f>ROUND(IF(AQ542="5",BJ542,0),2)</f>
        <v>0</v>
      </c>
      <c r="AB542" s="34">
        <f>ROUND(IF(AQ542="1",BH542,0),2)</f>
        <v>0</v>
      </c>
      <c r="AC542" s="34">
        <f>ROUND(IF(AQ542="1",BI542,0),2)</f>
        <v>0</v>
      </c>
      <c r="AD542" s="34">
        <f>ROUND(IF(AQ542="7",BH542,0),2)</f>
        <v>0</v>
      </c>
      <c r="AE542" s="34">
        <f>ROUND(IF(AQ542="7",BI542,0),2)</f>
        <v>0</v>
      </c>
      <c r="AF542" s="34">
        <f>ROUND(IF(AQ542="2",BH542,0),2)</f>
        <v>0</v>
      </c>
      <c r="AG542" s="34">
        <f>ROUND(IF(AQ542="2",BI542,0),2)</f>
        <v>0</v>
      </c>
      <c r="AH542" s="34">
        <f>ROUND(IF(AQ542="0",BJ542,0),2)</f>
        <v>0</v>
      </c>
      <c r="AI542" s="46" t="s">
        <v>84</v>
      </c>
      <c r="AJ542" s="34">
        <f>IF(AN542=0,I542,0)</f>
        <v>0</v>
      </c>
      <c r="AK542" s="34">
        <f>IF(AN542=12,I542,0)</f>
        <v>0</v>
      </c>
      <c r="AL542" s="34">
        <f>IF(AN542=21,I542,0)</f>
        <v>0</v>
      </c>
      <c r="AN542" s="34">
        <v>21</v>
      </c>
      <c r="AO542" s="34">
        <f>H542*0.073837209</f>
        <v>0</v>
      </c>
      <c r="AP542" s="34">
        <f>H542*(1-0.073837209)</f>
        <v>0</v>
      </c>
      <c r="AQ542" s="65" t="s">
        <v>175</v>
      </c>
      <c r="AV542" s="34">
        <f>ROUND(AW542+AX542,2)</f>
        <v>0</v>
      </c>
      <c r="AW542" s="34">
        <f>ROUND(G542*AO542,2)</f>
        <v>0</v>
      </c>
      <c r="AX542" s="34">
        <f>ROUND(G542*AP542,2)</f>
        <v>0</v>
      </c>
      <c r="AY542" s="65" t="s">
        <v>970</v>
      </c>
      <c r="AZ542" s="65" t="s">
        <v>802</v>
      </c>
      <c r="BA542" s="46" t="s">
        <v>136</v>
      </c>
      <c r="BC542" s="34">
        <f>AW542+AX542</f>
        <v>0</v>
      </c>
      <c r="BD542" s="34">
        <f>H542/(100-BE542)*100</f>
        <v>0</v>
      </c>
      <c r="BE542" s="34">
        <v>0</v>
      </c>
      <c r="BF542" s="34">
        <f>542</f>
        <v>542</v>
      </c>
      <c r="BH542" s="34">
        <f>G542*AO542</f>
        <v>0</v>
      </c>
      <c r="BI542" s="34">
        <f>G542*AP542</f>
        <v>0</v>
      </c>
      <c r="BJ542" s="34">
        <f>G542*H542</f>
        <v>0</v>
      </c>
      <c r="BK542" s="34"/>
      <c r="BL542" s="34">
        <v>713</v>
      </c>
      <c r="BW542" s="34">
        <v>21</v>
      </c>
      <c r="BX542" s="3" t="s">
        <v>1048</v>
      </c>
    </row>
    <row r="543" spans="1:76" x14ac:dyDescent="0.25">
      <c r="A543" s="66"/>
      <c r="D543" s="67" t="s">
        <v>1049</v>
      </c>
      <c r="E543" s="67" t="s">
        <v>4</v>
      </c>
      <c r="G543" s="68">
        <v>700</v>
      </c>
      <c r="K543" s="59"/>
    </row>
    <row r="544" spans="1:76" x14ac:dyDescent="0.25">
      <c r="A544" s="1" t="s">
        <v>893</v>
      </c>
      <c r="B544" s="2" t="s">
        <v>84</v>
      </c>
      <c r="C544" s="2" t="s">
        <v>1050</v>
      </c>
      <c r="D544" s="86" t="s">
        <v>1051</v>
      </c>
      <c r="E544" s="81"/>
      <c r="F544" s="2" t="s">
        <v>178</v>
      </c>
      <c r="G544" s="34">
        <v>3.0854400000000002</v>
      </c>
      <c r="H544" s="64">
        <v>0</v>
      </c>
      <c r="I544" s="34">
        <f>ROUND(G544*H544,2)</f>
        <v>0</v>
      </c>
      <c r="J544" s="65" t="s">
        <v>133</v>
      </c>
      <c r="K544" s="59"/>
      <c r="Z544" s="34">
        <f>ROUND(IF(AQ544="5",BJ544,0),2)</f>
        <v>0</v>
      </c>
      <c r="AB544" s="34">
        <f>ROUND(IF(AQ544="1",BH544,0),2)</f>
        <v>0</v>
      </c>
      <c r="AC544" s="34">
        <f>ROUND(IF(AQ544="1",BI544,0),2)</f>
        <v>0</v>
      </c>
      <c r="AD544" s="34">
        <f>ROUND(IF(AQ544="7",BH544,0),2)</f>
        <v>0</v>
      </c>
      <c r="AE544" s="34">
        <f>ROUND(IF(AQ544="7",BI544,0),2)</f>
        <v>0</v>
      </c>
      <c r="AF544" s="34">
        <f>ROUND(IF(AQ544="2",BH544,0),2)</f>
        <v>0</v>
      </c>
      <c r="AG544" s="34">
        <f>ROUND(IF(AQ544="2",BI544,0),2)</f>
        <v>0</v>
      </c>
      <c r="AH544" s="34">
        <f>ROUND(IF(AQ544="0",BJ544,0),2)</f>
        <v>0</v>
      </c>
      <c r="AI544" s="46" t="s">
        <v>84</v>
      </c>
      <c r="AJ544" s="34">
        <f>IF(AN544=0,I544,0)</f>
        <v>0</v>
      </c>
      <c r="AK544" s="34">
        <f>IF(AN544=12,I544,0)</f>
        <v>0</v>
      </c>
      <c r="AL544" s="34">
        <f>IF(AN544=21,I544,0)</f>
        <v>0</v>
      </c>
      <c r="AN544" s="34">
        <v>21</v>
      </c>
      <c r="AO544" s="34">
        <f>H544*0</f>
        <v>0</v>
      </c>
      <c r="AP544" s="34">
        <f>H544*(1-0)</f>
        <v>0</v>
      </c>
      <c r="AQ544" s="65" t="s">
        <v>166</v>
      </c>
      <c r="AV544" s="34">
        <f>ROUND(AW544+AX544,2)</f>
        <v>0</v>
      </c>
      <c r="AW544" s="34">
        <f>ROUND(G544*AO544,2)</f>
        <v>0</v>
      </c>
      <c r="AX544" s="34">
        <f>ROUND(G544*AP544,2)</f>
        <v>0</v>
      </c>
      <c r="AY544" s="65" t="s">
        <v>970</v>
      </c>
      <c r="AZ544" s="65" t="s">
        <v>802</v>
      </c>
      <c r="BA544" s="46" t="s">
        <v>136</v>
      </c>
      <c r="BC544" s="34">
        <f>AW544+AX544</f>
        <v>0</v>
      </c>
      <c r="BD544" s="34">
        <f>H544/(100-BE544)*100</f>
        <v>0</v>
      </c>
      <c r="BE544" s="34">
        <v>0</v>
      </c>
      <c r="BF544" s="34">
        <f>544</f>
        <v>544</v>
      </c>
      <c r="BH544" s="34">
        <f>G544*AO544</f>
        <v>0</v>
      </c>
      <c r="BI544" s="34">
        <f>G544*AP544</f>
        <v>0</v>
      </c>
      <c r="BJ544" s="34">
        <f>G544*H544</f>
        <v>0</v>
      </c>
      <c r="BK544" s="34"/>
      <c r="BL544" s="34">
        <v>713</v>
      </c>
      <c r="BW544" s="34">
        <v>21</v>
      </c>
      <c r="BX544" s="3" t="s">
        <v>1051</v>
      </c>
    </row>
    <row r="545" spans="1:76" x14ac:dyDescent="0.25">
      <c r="A545" s="60" t="s">
        <v>4</v>
      </c>
      <c r="B545" s="61" t="s">
        <v>84</v>
      </c>
      <c r="C545" s="61" t="s">
        <v>1052</v>
      </c>
      <c r="D545" s="167" t="s">
        <v>1053</v>
      </c>
      <c r="E545" s="168"/>
      <c r="F545" s="62" t="s">
        <v>79</v>
      </c>
      <c r="G545" s="62" t="s">
        <v>79</v>
      </c>
      <c r="H545" s="63" t="s">
        <v>79</v>
      </c>
      <c r="I545" s="39">
        <f>SUM(I546:I546)</f>
        <v>0</v>
      </c>
      <c r="J545" s="46" t="s">
        <v>4</v>
      </c>
      <c r="K545" s="59"/>
      <c r="AI545" s="46" t="s">
        <v>84</v>
      </c>
      <c r="AS545" s="39">
        <f>SUM(AJ546:AJ546)</f>
        <v>0</v>
      </c>
      <c r="AT545" s="39">
        <f>SUM(AK546:AK546)</f>
        <v>0</v>
      </c>
      <c r="AU545" s="39">
        <f>SUM(AL546:AL546)</f>
        <v>0</v>
      </c>
    </row>
    <row r="546" spans="1:76" x14ac:dyDescent="0.25">
      <c r="A546" s="1" t="s">
        <v>1054</v>
      </c>
      <c r="B546" s="2" t="s">
        <v>84</v>
      </c>
      <c r="C546" s="2" t="s">
        <v>1055</v>
      </c>
      <c r="D546" s="86" t="s">
        <v>1056</v>
      </c>
      <c r="E546" s="81"/>
      <c r="F546" s="2" t="s">
        <v>258</v>
      </c>
      <c r="G546" s="34">
        <v>3</v>
      </c>
      <c r="H546" s="64">
        <v>0</v>
      </c>
      <c r="I546" s="34">
        <f>ROUND(G546*H546,2)</f>
        <v>0</v>
      </c>
      <c r="J546" s="65" t="s">
        <v>133</v>
      </c>
      <c r="K546" s="59"/>
      <c r="Z546" s="34">
        <f>ROUND(IF(AQ546="5",BJ546,0),2)</f>
        <v>0</v>
      </c>
      <c r="AB546" s="34">
        <f>ROUND(IF(AQ546="1",BH546,0),2)</f>
        <v>0</v>
      </c>
      <c r="AC546" s="34">
        <f>ROUND(IF(AQ546="1",BI546,0),2)</f>
        <v>0</v>
      </c>
      <c r="AD546" s="34">
        <f>ROUND(IF(AQ546="7",BH546,0),2)</f>
        <v>0</v>
      </c>
      <c r="AE546" s="34">
        <f>ROUND(IF(AQ546="7",BI546,0),2)</f>
        <v>0</v>
      </c>
      <c r="AF546" s="34">
        <f>ROUND(IF(AQ546="2",BH546,0),2)</f>
        <v>0</v>
      </c>
      <c r="AG546" s="34">
        <f>ROUND(IF(AQ546="2",BI546,0),2)</f>
        <v>0</v>
      </c>
      <c r="AH546" s="34">
        <f>ROUND(IF(AQ546="0",BJ546,0),2)</f>
        <v>0</v>
      </c>
      <c r="AI546" s="46" t="s">
        <v>84</v>
      </c>
      <c r="AJ546" s="34">
        <f>IF(AN546=0,I546,0)</f>
        <v>0</v>
      </c>
      <c r="AK546" s="34">
        <f>IF(AN546=12,I546,0)</f>
        <v>0</v>
      </c>
      <c r="AL546" s="34">
        <f>IF(AN546=21,I546,0)</f>
        <v>0</v>
      </c>
      <c r="AN546" s="34">
        <v>21</v>
      </c>
      <c r="AO546" s="34">
        <f>H546*0.926835222</f>
        <v>0</v>
      </c>
      <c r="AP546" s="34">
        <f>H546*(1-0.926835222)</f>
        <v>0</v>
      </c>
      <c r="AQ546" s="65" t="s">
        <v>175</v>
      </c>
      <c r="AV546" s="34">
        <f>ROUND(AW546+AX546,2)</f>
        <v>0</v>
      </c>
      <c r="AW546" s="34">
        <f>ROUND(G546*AO546,2)</f>
        <v>0</v>
      </c>
      <c r="AX546" s="34">
        <f>ROUND(G546*AP546,2)</f>
        <v>0</v>
      </c>
      <c r="AY546" s="65" t="s">
        <v>1057</v>
      </c>
      <c r="AZ546" s="65" t="s">
        <v>1058</v>
      </c>
      <c r="BA546" s="46" t="s">
        <v>136</v>
      </c>
      <c r="BC546" s="34">
        <f>AW546+AX546</f>
        <v>0</v>
      </c>
      <c r="BD546" s="34">
        <f>H546/(100-BE546)*100</f>
        <v>0</v>
      </c>
      <c r="BE546" s="34">
        <v>0</v>
      </c>
      <c r="BF546" s="34">
        <f>546</f>
        <v>546</v>
      </c>
      <c r="BH546" s="34">
        <f>G546*AO546</f>
        <v>0</v>
      </c>
      <c r="BI546" s="34">
        <f>G546*AP546</f>
        <v>0</v>
      </c>
      <c r="BJ546" s="34">
        <f>G546*H546</f>
        <v>0</v>
      </c>
      <c r="BK546" s="34"/>
      <c r="BL546" s="34">
        <v>721</v>
      </c>
      <c r="BW546" s="34">
        <v>21</v>
      </c>
      <c r="BX546" s="3" t="s">
        <v>1056</v>
      </c>
    </row>
    <row r="547" spans="1:76" ht="13.5" customHeight="1" x14ac:dyDescent="0.25">
      <c r="A547" s="66"/>
      <c r="C547" s="69" t="s">
        <v>204</v>
      </c>
      <c r="D547" s="169" t="s">
        <v>1059</v>
      </c>
      <c r="E547" s="170"/>
      <c r="F547" s="170"/>
      <c r="G547" s="170"/>
      <c r="H547" s="171"/>
      <c r="I547" s="170"/>
      <c r="J547" s="170"/>
      <c r="K547" s="172"/>
    </row>
    <row r="548" spans="1:76" x14ac:dyDescent="0.25">
      <c r="A548" s="66"/>
      <c r="D548" s="67" t="s">
        <v>148</v>
      </c>
      <c r="E548" s="67" t="s">
        <v>4</v>
      </c>
      <c r="G548" s="68">
        <v>3</v>
      </c>
      <c r="K548" s="59"/>
    </row>
    <row r="549" spans="1:76" x14ac:dyDescent="0.25">
      <c r="A549" s="60" t="s">
        <v>4</v>
      </c>
      <c r="B549" s="61" t="s">
        <v>84</v>
      </c>
      <c r="C549" s="61" t="s">
        <v>1060</v>
      </c>
      <c r="D549" s="167" t="s">
        <v>1061</v>
      </c>
      <c r="E549" s="168"/>
      <c r="F549" s="62" t="s">
        <v>79</v>
      </c>
      <c r="G549" s="62" t="s">
        <v>79</v>
      </c>
      <c r="H549" s="63" t="s">
        <v>79</v>
      </c>
      <c r="I549" s="39">
        <f>SUM(I550:I550)</f>
        <v>0</v>
      </c>
      <c r="J549" s="46" t="s">
        <v>4</v>
      </c>
      <c r="K549" s="59"/>
      <c r="AI549" s="46" t="s">
        <v>84</v>
      </c>
      <c r="AS549" s="39">
        <f>SUM(AJ550:AJ550)</f>
        <v>0</v>
      </c>
      <c r="AT549" s="39">
        <f>SUM(AK550:AK550)</f>
        <v>0</v>
      </c>
      <c r="AU549" s="39">
        <f>SUM(AL550:AL550)</f>
        <v>0</v>
      </c>
    </row>
    <row r="550" spans="1:76" x14ac:dyDescent="0.25">
      <c r="A550" s="1" t="s">
        <v>1062</v>
      </c>
      <c r="B550" s="2" t="s">
        <v>84</v>
      </c>
      <c r="C550" s="2" t="s">
        <v>1063</v>
      </c>
      <c r="D550" s="86" t="s">
        <v>1064</v>
      </c>
      <c r="E550" s="81"/>
      <c r="F550" s="2" t="s">
        <v>258</v>
      </c>
      <c r="G550" s="34">
        <v>5</v>
      </c>
      <c r="H550" s="64">
        <v>0</v>
      </c>
      <c r="I550" s="34">
        <f>ROUND(G550*H550,2)</f>
        <v>0</v>
      </c>
      <c r="J550" s="65" t="s">
        <v>133</v>
      </c>
      <c r="K550" s="59"/>
      <c r="Z550" s="34">
        <f>ROUND(IF(AQ550="5",BJ550,0),2)</f>
        <v>0</v>
      </c>
      <c r="AB550" s="34">
        <f>ROUND(IF(AQ550="1",BH550,0),2)</f>
        <v>0</v>
      </c>
      <c r="AC550" s="34">
        <f>ROUND(IF(AQ550="1",BI550,0),2)</f>
        <v>0</v>
      </c>
      <c r="AD550" s="34">
        <f>ROUND(IF(AQ550="7",BH550,0),2)</f>
        <v>0</v>
      </c>
      <c r="AE550" s="34">
        <f>ROUND(IF(AQ550="7",BI550,0),2)</f>
        <v>0</v>
      </c>
      <c r="AF550" s="34">
        <f>ROUND(IF(AQ550="2",BH550,0),2)</f>
        <v>0</v>
      </c>
      <c r="AG550" s="34">
        <f>ROUND(IF(AQ550="2",BI550,0),2)</f>
        <v>0</v>
      </c>
      <c r="AH550" s="34">
        <f>ROUND(IF(AQ550="0",BJ550,0),2)</f>
        <v>0</v>
      </c>
      <c r="AI550" s="46" t="s">
        <v>84</v>
      </c>
      <c r="AJ550" s="34">
        <f>IF(AN550=0,I550,0)</f>
        <v>0</v>
      </c>
      <c r="AK550" s="34">
        <f>IF(AN550=12,I550,0)</f>
        <v>0</v>
      </c>
      <c r="AL550" s="34">
        <f>IF(AN550=21,I550,0)</f>
        <v>0</v>
      </c>
      <c r="AN550" s="34">
        <v>21</v>
      </c>
      <c r="AO550" s="34">
        <f>H550*0.913615602</f>
        <v>0</v>
      </c>
      <c r="AP550" s="34">
        <f>H550*(1-0.913615602)</f>
        <v>0</v>
      </c>
      <c r="AQ550" s="65" t="s">
        <v>175</v>
      </c>
      <c r="AV550" s="34">
        <f>ROUND(AW550+AX550,2)</f>
        <v>0</v>
      </c>
      <c r="AW550" s="34">
        <f>ROUND(G550*AO550,2)</f>
        <v>0</v>
      </c>
      <c r="AX550" s="34">
        <f>ROUND(G550*AP550,2)</f>
        <v>0</v>
      </c>
      <c r="AY550" s="65" t="s">
        <v>1065</v>
      </c>
      <c r="AZ550" s="65" t="s">
        <v>1058</v>
      </c>
      <c r="BA550" s="46" t="s">
        <v>136</v>
      </c>
      <c r="BC550" s="34">
        <f>AW550+AX550</f>
        <v>0</v>
      </c>
      <c r="BD550" s="34">
        <f>H550/(100-BE550)*100</f>
        <v>0</v>
      </c>
      <c r="BE550" s="34">
        <v>0</v>
      </c>
      <c r="BF550" s="34">
        <f>550</f>
        <v>550</v>
      </c>
      <c r="BH550" s="34">
        <f>G550*AO550</f>
        <v>0</v>
      </c>
      <c r="BI550" s="34">
        <f>G550*AP550</f>
        <v>0</v>
      </c>
      <c r="BJ550" s="34">
        <f>G550*H550</f>
        <v>0</v>
      </c>
      <c r="BK550" s="34"/>
      <c r="BL550" s="34">
        <v>722</v>
      </c>
      <c r="BW550" s="34">
        <v>21</v>
      </c>
      <c r="BX550" s="3" t="s">
        <v>1064</v>
      </c>
    </row>
    <row r="551" spans="1:76" ht="13.5" customHeight="1" x14ac:dyDescent="0.25">
      <c r="A551" s="66"/>
      <c r="C551" s="69" t="s">
        <v>204</v>
      </c>
      <c r="D551" s="169" t="s">
        <v>1066</v>
      </c>
      <c r="E551" s="170"/>
      <c r="F551" s="170"/>
      <c r="G551" s="170"/>
      <c r="H551" s="171"/>
      <c r="I551" s="170"/>
      <c r="J551" s="170"/>
      <c r="K551" s="172"/>
    </row>
    <row r="552" spans="1:76" x14ac:dyDescent="0.25">
      <c r="A552" s="66"/>
      <c r="D552" s="67" t="s">
        <v>166</v>
      </c>
      <c r="E552" s="67" t="s">
        <v>4</v>
      </c>
      <c r="G552" s="68">
        <v>5</v>
      </c>
      <c r="K552" s="59"/>
    </row>
    <row r="553" spans="1:76" x14ac:dyDescent="0.25">
      <c r="A553" s="60" t="s">
        <v>4</v>
      </c>
      <c r="B553" s="61" t="s">
        <v>84</v>
      </c>
      <c r="C553" s="61" t="s">
        <v>1067</v>
      </c>
      <c r="D553" s="167" t="s">
        <v>1068</v>
      </c>
      <c r="E553" s="168"/>
      <c r="F553" s="62" t="s">
        <v>79</v>
      </c>
      <c r="G553" s="62" t="s">
        <v>79</v>
      </c>
      <c r="H553" s="63" t="s">
        <v>79</v>
      </c>
      <c r="I553" s="39">
        <f>SUM(I554:I571)</f>
        <v>0</v>
      </c>
      <c r="J553" s="46" t="s">
        <v>4</v>
      </c>
      <c r="K553" s="59"/>
      <c r="AI553" s="46" t="s">
        <v>84</v>
      </c>
      <c r="AS553" s="39">
        <f>SUM(AJ554:AJ571)</f>
        <v>0</v>
      </c>
      <c r="AT553" s="39">
        <f>SUM(AK554:AK571)</f>
        <v>0</v>
      </c>
      <c r="AU553" s="39">
        <f>SUM(AL554:AL571)</f>
        <v>0</v>
      </c>
    </row>
    <row r="554" spans="1:76" x14ac:dyDescent="0.25">
      <c r="A554" s="1" t="s">
        <v>1069</v>
      </c>
      <c r="B554" s="2" t="s">
        <v>84</v>
      </c>
      <c r="C554" s="2" t="s">
        <v>1070</v>
      </c>
      <c r="D554" s="86" t="s">
        <v>1071</v>
      </c>
      <c r="E554" s="81"/>
      <c r="F554" s="2" t="s">
        <v>1072</v>
      </c>
      <c r="G554" s="34">
        <v>15</v>
      </c>
      <c r="H554" s="64">
        <v>0</v>
      </c>
      <c r="I554" s="34">
        <f>ROUND(G554*H554,2)</f>
        <v>0</v>
      </c>
      <c r="J554" s="65" t="s">
        <v>133</v>
      </c>
      <c r="K554" s="59"/>
      <c r="Z554" s="34">
        <f>ROUND(IF(AQ554="5",BJ554,0),2)</f>
        <v>0</v>
      </c>
      <c r="AB554" s="34">
        <f>ROUND(IF(AQ554="1",BH554,0),2)</f>
        <v>0</v>
      </c>
      <c r="AC554" s="34">
        <f>ROUND(IF(AQ554="1",BI554,0),2)</f>
        <v>0</v>
      </c>
      <c r="AD554" s="34">
        <f>ROUND(IF(AQ554="7",BH554,0),2)</f>
        <v>0</v>
      </c>
      <c r="AE554" s="34">
        <f>ROUND(IF(AQ554="7",BI554,0),2)</f>
        <v>0</v>
      </c>
      <c r="AF554" s="34">
        <f>ROUND(IF(AQ554="2",BH554,0),2)</f>
        <v>0</v>
      </c>
      <c r="AG554" s="34">
        <f>ROUND(IF(AQ554="2",BI554,0),2)</f>
        <v>0</v>
      </c>
      <c r="AH554" s="34">
        <f>ROUND(IF(AQ554="0",BJ554,0),2)</f>
        <v>0</v>
      </c>
      <c r="AI554" s="46" t="s">
        <v>84</v>
      </c>
      <c r="AJ554" s="34">
        <f>IF(AN554=0,I554,0)</f>
        <v>0</v>
      </c>
      <c r="AK554" s="34">
        <f>IF(AN554=12,I554,0)</f>
        <v>0</v>
      </c>
      <c r="AL554" s="34">
        <f>IF(AN554=21,I554,0)</f>
        <v>0</v>
      </c>
      <c r="AN554" s="34">
        <v>21</v>
      </c>
      <c r="AO554" s="34">
        <f>H554*0</f>
        <v>0</v>
      </c>
      <c r="AP554" s="34">
        <f>H554*(1-0)</f>
        <v>0</v>
      </c>
      <c r="AQ554" s="65" t="s">
        <v>175</v>
      </c>
      <c r="AV554" s="34">
        <f>ROUND(AW554+AX554,2)</f>
        <v>0</v>
      </c>
      <c r="AW554" s="34">
        <f>ROUND(G554*AO554,2)</f>
        <v>0</v>
      </c>
      <c r="AX554" s="34">
        <f>ROUND(G554*AP554,2)</f>
        <v>0</v>
      </c>
      <c r="AY554" s="65" t="s">
        <v>1073</v>
      </c>
      <c r="AZ554" s="65" t="s">
        <v>1058</v>
      </c>
      <c r="BA554" s="46" t="s">
        <v>136</v>
      </c>
      <c r="BC554" s="34">
        <f>AW554+AX554</f>
        <v>0</v>
      </c>
      <c r="BD554" s="34">
        <f>H554/(100-BE554)*100</f>
        <v>0</v>
      </c>
      <c r="BE554" s="34">
        <v>0</v>
      </c>
      <c r="BF554" s="34">
        <f>554</f>
        <v>554</v>
      </c>
      <c r="BH554" s="34">
        <f>G554*AO554</f>
        <v>0</v>
      </c>
      <c r="BI554" s="34">
        <f>G554*AP554</f>
        <v>0</v>
      </c>
      <c r="BJ554" s="34">
        <f>G554*H554</f>
        <v>0</v>
      </c>
      <c r="BK554" s="34"/>
      <c r="BL554" s="34">
        <v>725</v>
      </c>
      <c r="BW554" s="34">
        <v>21</v>
      </c>
      <c r="BX554" s="3" t="s">
        <v>1071</v>
      </c>
    </row>
    <row r="555" spans="1:76" x14ac:dyDescent="0.25">
      <c r="A555" s="66"/>
      <c r="D555" s="67" t="s">
        <v>189</v>
      </c>
      <c r="E555" s="67" t="s">
        <v>1074</v>
      </c>
      <c r="G555" s="68">
        <v>9</v>
      </c>
      <c r="K555" s="59"/>
    </row>
    <row r="556" spans="1:76" x14ac:dyDescent="0.25">
      <c r="A556" s="66"/>
      <c r="D556" s="67" t="s">
        <v>171</v>
      </c>
      <c r="E556" s="67" t="s">
        <v>1075</v>
      </c>
      <c r="G556" s="68">
        <v>6</v>
      </c>
      <c r="K556" s="59"/>
    </row>
    <row r="557" spans="1:76" x14ac:dyDescent="0.25">
      <c r="A557" s="1" t="s">
        <v>1076</v>
      </c>
      <c r="B557" s="2" t="s">
        <v>84</v>
      </c>
      <c r="C557" s="2" t="s">
        <v>1077</v>
      </c>
      <c r="D557" s="86" t="s">
        <v>1078</v>
      </c>
      <c r="E557" s="81"/>
      <c r="F557" s="2" t="s">
        <v>1072</v>
      </c>
      <c r="G557" s="34">
        <v>15</v>
      </c>
      <c r="H557" s="64">
        <v>0</v>
      </c>
      <c r="I557" s="34">
        <f>ROUND(G557*H557,2)</f>
        <v>0</v>
      </c>
      <c r="J557" s="65" t="s">
        <v>133</v>
      </c>
      <c r="K557" s="59"/>
      <c r="Z557" s="34">
        <f>ROUND(IF(AQ557="5",BJ557,0),2)</f>
        <v>0</v>
      </c>
      <c r="AB557" s="34">
        <f>ROUND(IF(AQ557="1",BH557,0),2)</f>
        <v>0</v>
      </c>
      <c r="AC557" s="34">
        <f>ROUND(IF(AQ557="1",BI557,0),2)</f>
        <v>0</v>
      </c>
      <c r="AD557" s="34">
        <f>ROUND(IF(AQ557="7",BH557,0),2)</f>
        <v>0</v>
      </c>
      <c r="AE557" s="34">
        <f>ROUND(IF(AQ557="7",BI557,0),2)</f>
        <v>0</v>
      </c>
      <c r="AF557" s="34">
        <f>ROUND(IF(AQ557="2",BH557,0),2)</f>
        <v>0</v>
      </c>
      <c r="AG557" s="34">
        <f>ROUND(IF(AQ557="2",BI557,0),2)</f>
        <v>0</v>
      </c>
      <c r="AH557" s="34">
        <f>ROUND(IF(AQ557="0",BJ557,0),2)</f>
        <v>0</v>
      </c>
      <c r="AI557" s="46" t="s">
        <v>84</v>
      </c>
      <c r="AJ557" s="34">
        <f>IF(AN557=0,I557,0)</f>
        <v>0</v>
      </c>
      <c r="AK557" s="34">
        <f>IF(AN557=12,I557,0)</f>
        <v>0</v>
      </c>
      <c r="AL557" s="34">
        <f>IF(AN557=21,I557,0)</f>
        <v>0</v>
      </c>
      <c r="AN557" s="34">
        <v>21</v>
      </c>
      <c r="AO557" s="34">
        <f>H557*0</f>
        <v>0</v>
      </c>
      <c r="AP557" s="34">
        <f>H557*(1-0)</f>
        <v>0</v>
      </c>
      <c r="AQ557" s="65" t="s">
        <v>175</v>
      </c>
      <c r="AV557" s="34">
        <f>ROUND(AW557+AX557,2)</f>
        <v>0</v>
      </c>
      <c r="AW557" s="34">
        <f>ROUND(G557*AO557,2)</f>
        <v>0</v>
      </c>
      <c r="AX557" s="34">
        <f>ROUND(G557*AP557,2)</f>
        <v>0</v>
      </c>
      <c r="AY557" s="65" t="s">
        <v>1073</v>
      </c>
      <c r="AZ557" s="65" t="s">
        <v>1058</v>
      </c>
      <c r="BA557" s="46" t="s">
        <v>136</v>
      </c>
      <c r="BC557" s="34">
        <f>AW557+AX557</f>
        <v>0</v>
      </c>
      <c r="BD557" s="34">
        <f>H557/(100-BE557)*100</f>
        <v>0</v>
      </c>
      <c r="BE557" s="34">
        <v>0</v>
      </c>
      <c r="BF557" s="34">
        <f>557</f>
        <v>557</v>
      </c>
      <c r="BH557" s="34">
        <f>G557*AO557</f>
        <v>0</v>
      </c>
      <c r="BI557" s="34">
        <f>G557*AP557</f>
        <v>0</v>
      </c>
      <c r="BJ557" s="34">
        <f>G557*H557</f>
        <v>0</v>
      </c>
      <c r="BK557" s="34"/>
      <c r="BL557" s="34">
        <v>725</v>
      </c>
      <c r="BW557" s="34">
        <v>21</v>
      </c>
      <c r="BX557" s="3" t="s">
        <v>1078</v>
      </c>
    </row>
    <row r="558" spans="1:76" x14ac:dyDescent="0.25">
      <c r="A558" s="66"/>
      <c r="D558" s="67" t="s">
        <v>198</v>
      </c>
      <c r="E558" s="67" t="s">
        <v>474</v>
      </c>
      <c r="G558" s="68">
        <v>10</v>
      </c>
      <c r="K558" s="59"/>
    </row>
    <row r="559" spans="1:76" x14ac:dyDescent="0.25">
      <c r="A559" s="66"/>
      <c r="D559" s="67" t="s">
        <v>166</v>
      </c>
      <c r="E559" s="67" t="s">
        <v>476</v>
      </c>
      <c r="G559" s="68">
        <v>5</v>
      </c>
      <c r="K559" s="59"/>
    </row>
    <row r="560" spans="1:76" x14ac:dyDescent="0.25">
      <c r="A560" s="1" t="s">
        <v>1079</v>
      </c>
      <c r="B560" s="2" t="s">
        <v>84</v>
      </c>
      <c r="C560" s="2" t="s">
        <v>1080</v>
      </c>
      <c r="D560" s="86" t="s">
        <v>1081</v>
      </c>
      <c r="E560" s="81"/>
      <c r="F560" s="2" t="s">
        <v>1072</v>
      </c>
      <c r="G560" s="34">
        <v>12</v>
      </c>
      <c r="H560" s="64">
        <v>0</v>
      </c>
      <c r="I560" s="34">
        <f>ROUND(G560*H560,2)</f>
        <v>0</v>
      </c>
      <c r="J560" s="65" t="s">
        <v>133</v>
      </c>
      <c r="K560" s="59"/>
      <c r="Z560" s="34">
        <f>ROUND(IF(AQ560="5",BJ560,0),2)</f>
        <v>0</v>
      </c>
      <c r="AB560" s="34">
        <f>ROUND(IF(AQ560="1",BH560,0),2)</f>
        <v>0</v>
      </c>
      <c r="AC560" s="34">
        <f>ROUND(IF(AQ560="1",BI560,0),2)</f>
        <v>0</v>
      </c>
      <c r="AD560" s="34">
        <f>ROUND(IF(AQ560="7",BH560,0),2)</f>
        <v>0</v>
      </c>
      <c r="AE560" s="34">
        <f>ROUND(IF(AQ560="7",BI560,0),2)</f>
        <v>0</v>
      </c>
      <c r="AF560" s="34">
        <f>ROUND(IF(AQ560="2",BH560,0),2)</f>
        <v>0</v>
      </c>
      <c r="AG560" s="34">
        <f>ROUND(IF(AQ560="2",BI560,0),2)</f>
        <v>0</v>
      </c>
      <c r="AH560" s="34">
        <f>ROUND(IF(AQ560="0",BJ560,0),2)</f>
        <v>0</v>
      </c>
      <c r="AI560" s="46" t="s">
        <v>84</v>
      </c>
      <c r="AJ560" s="34">
        <f>IF(AN560=0,I560,0)</f>
        <v>0</v>
      </c>
      <c r="AK560" s="34">
        <f>IF(AN560=12,I560,0)</f>
        <v>0</v>
      </c>
      <c r="AL560" s="34">
        <f>IF(AN560=21,I560,0)</f>
        <v>0</v>
      </c>
      <c r="AN560" s="34">
        <v>21</v>
      </c>
      <c r="AO560" s="34">
        <f>H560*0</f>
        <v>0</v>
      </c>
      <c r="AP560" s="34">
        <f>H560*(1-0)</f>
        <v>0</v>
      </c>
      <c r="AQ560" s="65" t="s">
        <v>175</v>
      </c>
      <c r="AV560" s="34">
        <f>ROUND(AW560+AX560,2)</f>
        <v>0</v>
      </c>
      <c r="AW560" s="34">
        <f>ROUND(G560*AO560,2)</f>
        <v>0</v>
      </c>
      <c r="AX560" s="34">
        <f>ROUND(G560*AP560,2)</f>
        <v>0</v>
      </c>
      <c r="AY560" s="65" t="s">
        <v>1073</v>
      </c>
      <c r="AZ560" s="65" t="s">
        <v>1058</v>
      </c>
      <c r="BA560" s="46" t="s">
        <v>136</v>
      </c>
      <c r="BC560" s="34">
        <f>AW560+AX560</f>
        <v>0</v>
      </c>
      <c r="BD560" s="34">
        <f>H560/(100-BE560)*100</f>
        <v>0</v>
      </c>
      <c r="BE560" s="34">
        <v>0</v>
      </c>
      <c r="BF560" s="34">
        <f>560</f>
        <v>560</v>
      </c>
      <c r="BH560" s="34">
        <f>G560*AO560</f>
        <v>0</v>
      </c>
      <c r="BI560" s="34">
        <f>G560*AP560</f>
        <v>0</v>
      </c>
      <c r="BJ560" s="34">
        <f>G560*H560</f>
        <v>0</v>
      </c>
      <c r="BK560" s="34"/>
      <c r="BL560" s="34">
        <v>725</v>
      </c>
      <c r="BW560" s="34">
        <v>21</v>
      </c>
      <c r="BX560" s="3" t="s">
        <v>1081</v>
      </c>
    </row>
    <row r="561" spans="1:76" x14ac:dyDescent="0.25">
      <c r="A561" s="66"/>
      <c r="D561" s="67" t="s">
        <v>198</v>
      </c>
      <c r="E561" s="67" t="s">
        <v>474</v>
      </c>
      <c r="G561" s="68">
        <v>10</v>
      </c>
      <c r="K561" s="59"/>
    </row>
    <row r="562" spans="1:76" x14ac:dyDescent="0.25">
      <c r="A562" s="66"/>
      <c r="D562" s="67" t="s">
        <v>140</v>
      </c>
      <c r="E562" s="67" t="s">
        <v>476</v>
      </c>
      <c r="G562" s="68">
        <v>2</v>
      </c>
      <c r="K562" s="59"/>
    </row>
    <row r="563" spans="1:76" x14ac:dyDescent="0.25">
      <c r="A563" s="1" t="s">
        <v>1082</v>
      </c>
      <c r="B563" s="2" t="s">
        <v>84</v>
      </c>
      <c r="C563" s="2" t="s">
        <v>1083</v>
      </c>
      <c r="D563" s="86" t="s">
        <v>1084</v>
      </c>
      <c r="E563" s="81"/>
      <c r="F563" s="2" t="s">
        <v>258</v>
      </c>
      <c r="G563" s="34">
        <v>12</v>
      </c>
      <c r="H563" s="64">
        <v>0</v>
      </c>
      <c r="I563" s="34">
        <f>ROUND(G563*H563,2)</f>
        <v>0</v>
      </c>
      <c r="J563" s="65" t="s">
        <v>133</v>
      </c>
      <c r="K563" s="59"/>
      <c r="Z563" s="34">
        <f>ROUND(IF(AQ563="5",BJ563,0),2)</f>
        <v>0</v>
      </c>
      <c r="AB563" s="34">
        <f>ROUND(IF(AQ563="1",BH563,0),2)</f>
        <v>0</v>
      </c>
      <c r="AC563" s="34">
        <f>ROUND(IF(AQ563="1",BI563,0),2)</f>
        <v>0</v>
      </c>
      <c r="AD563" s="34">
        <f>ROUND(IF(AQ563="7",BH563,0),2)</f>
        <v>0</v>
      </c>
      <c r="AE563" s="34">
        <f>ROUND(IF(AQ563="7",BI563,0),2)</f>
        <v>0</v>
      </c>
      <c r="AF563" s="34">
        <f>ROUND(IF(AQ563="2",BH563,0),2)</f>
        <v>0</v>
      </c>
      <c r="AG563" s="34">
        <f>ROUND(IF(AQ563="2",BI563,0),2)</f>
        <v>0</v>
      </c>
      <c r="AH563" s="34">
        <f>ROUND(IF(AQ563="0",BJ563,0),2)</f>
        <v>0</v>
      </c>
      <c r="AI563" s="46" t="s">
        <v>84</v>
      </c>
      <c r="AJ563" s="34">
        <f>IF(AN563=0,I563,0)</f>
        <v>0</v>
      </c>
      <c r="AK563" s="34">
        <f>IF(AN563=12,I563,0)</f>
        <v>0</v>
      </c>
      <c r="AL563" s="34">
        <f>IF(AN563=21,I563,0)</f>
        <v>0</v>
      </c>
      <c r="AN563" s="34">
        <v>21</v>
      </c>
      <c r="AO563" s="34">
        <f>H563*0</f>
        <v>0</v>
      </c>
      <c r="AP563" s="34">
        <f>H563*(1-0)</f>
        <v>0</v>
      </c>
      <c r="AQ563" s="65" t="s">
        <v>175</v>
      </c>
      <c r="AV563" s="34">
        <f>ROUND(AW563+AX563,2)</f>
        <v>0</v>
      </c>
      <c r="AW563" s="34">
        <f>ROUND(G563*AO563,2)</f>
        <v>0</v>
      </c>
      <c r="AX563" s="34">
        <f>ROUND(G563*AP563,2)</f>
        <v>0</v>
      </c>
      <c r="AY563" s="65" t="s">
        <v>1073</v>
      </c>
      <c r="AZ563" s="65" t="s">
        <v>1058</v>
      </c>
      <c r="BA563" s="46" t="s">
        <v>136</v>
      </c>
      <c r="BC563" s="34">
        <f>AW563+AX563</f>
        <v>0</v>
      </c>
      <c r="BD563" s="34">
        <f>H563/(100-BE563)*100</f>
        <v>0</v>
      </c>
      <c r="BE563" s="34">
        <v>0</v>
      </c>
      <c r="BF563" s="34">
        <f>563</f>
        <v>563</v>
      </c>
      <c r="BH563" s="34">
        <f>G563*AO563</f>
        <v>0</v>
      </c>
      <c r="BI563" s="34">
        <f>G563*AP563</f>
        <v>0</v>
      </c>
      <c r="BJ563" s="34">
        <f>G563*H563</f>
        <v>0</v>
      </c>
      <c r="BK563" s="34"/>
      <c r="BL563" s="34">
        <v>725</v>
      </c>
      <c r="BW563" s="34">
        <v>21</v>
      </c>
      <c r="BX563" s="3" t="s">
        <v>1084</v>
      </c>
    </row>
    <row r="564" spans="1:76" x14ac:dyDescent="0.25">
      <c r="A564" s="66"/>
      <c r="D564" s="67" t="s">
        <v>198</v>
      </c>
      <c r="E564" s="67" t="s">
        <v>474</v>
      </c>
      <c r="G564" s="68">
        <v>10</v>
      </c>
      <c r="K564" s="59"/>
    </row>
    <row r="565" spans="1:76" x14ac:dyDescent="0.25">
      <c r="A565" s="66"/>
      <c r="D565" s="67" t="s">
        <v>140</v>
      </c>
      <c r="E565" s="67" t="s">
        <v>476</v>
      </c>
      <c r="G565" s="68">
        <v>2</v>
      </c>
      <c r="K565" s="59"/>
    </row>
    <row r="566" spans="1:76" x14ac:dyDescent="0.25">
      <c r="A566" s="1" t="s">
        <v>1085</v>
      </c>
      <c r="B566" s="2" t="s">
        <v>84</v>
      </c>
      <c r="C566" s="2" t="s">
        <v>1086</v>
      </c>
      <c r="D566" s="86" t="s">
        <v>1087</v>
      </c>
      <c r="E566" s="81"/>
      <c r="F566" s="2" t="s">
        <v>258</v>
      </c>
      <c r="G566" s="34">
        <v>12</v>
      </c>
      <c r="H566" s="64">
        <v>0</v>
      </c>
      <c r="I566" s="34">
        <f>ROUND(G566*H566,2)</f>
        <v>0</v>
      </c>
      <c r="J566" s="65" t="s">
        <v>133</v>
      </c>
      <c r="K566" s="59"/>
      <c r="Z566" s="34">
        <f>ROUND(IF(AQ566="5",BJ566,0),2)</f>
        <v>0</v>
      </c>
      <c r="AB566" s="34">
        <f>ROUND(IF(AQ566="1",BH566,0),2)</f>
        <v>0</v>
      </c>
      <c r="AC566" s="34">
        <f>ROUND(IF(AQ566="1",BI566,0),2)</f>
        <v>0</v>
      </c>
      <c r="AD566" s="34">
        <f>ROUND(IF(AQ566="7",BH566,0),2)</f>
        <v>0</v>
      </c>
      <c r="AE566" s="34">
        <f>ROUND(IF(AQ566="7",BI566,0),2)</f>
        <v>0</v>
      </c>
      <c r="AF566" s="34">
        <f>ROUND(IF(AQ566="2",BH566,0),2)</f>
        <v>0</v>
      </c>
      <c r="AG566" s="34">
        <f>ROUND(IF(AQ566="2",BI566,0),2)</f>
        <v>0</v>
      </c>
      <c r="AH566" s="34">
        <f>ROUND(IF(AQ566="0",BJ566,0),2)</f>
        <v>0</v>
      </c>
      <c r="AI566" s="46" t="s">
        <v>84</v>
      </c>
      <c r="AJ566" s="34">
        <f>IF(AN566=0,I566,0)</f>
        <v>0</v>
      </c>
      <c r="AK566" s="34">
        <f>IF(AN566=12,I566,0)</f>
        <v>0</v>
      </c>
      <c r="AL566" s="34">
        <f>IF(AN566=21,I566,0)</f>
        <v>0</v>
      </c>
      <c r="AN566" s="34">
        <v>21</v>
      </c>
      <c r="AO566" s="34">
        <f>H566*0</f>
        <v>0</v>
      </c>
      <c r="AP566" s="34">
        <f>H566*(1-0)</f>
        <v>0</v>
      </c>
      <c r="AQ566" s="65" t="s">
        <v>175</v>
      </c>
      <c r="AV566" s="34">
        <f>ROUND(AW566+AX566,2)</f>
        <v>0</v>
      </c>
      <c r="AW566" s="34">
        <f>ROUND(G566*AO566,2)</f>
        <v>0</v>
      </c>
      <c r="AX566" s="34">
        <f>ROUND(G566*AP566,2)</f>
        <v>0</v>
      </c>
      <c r="AY566" s="65" t="s">
        <v>1073</v>
      </c>
      <c r="AZ566" s="65" t="s">
        <v>1058</v>
      </c>
      <c r="BA566" s="46" t="s">
        <v>136</v>
      </c>
      <c r="BC566" s="34">
        <f>AW566+AX566</f>
        <v>0</v>
      </c>
      <c r="BD566" s="34">
        <f>H566/(100-BE566)*100</f>
        <v>0</v>
      </c>
      <c r="BE566" s="34">
        <v>0</v>
      </c>
      <c r="BF566" s="34">
        <f>566</f>
        <v>566</v>
      </c>
      <c r="BH566" s="34">
        <f>G566*AO566</f>
        <v>0</v>
      </c>
      <c r="BI566" s="34">
        <f>G566*AP566</f>
        <v>0</v>
      </c>
      <c r="BJ566" s="34">
        <f>G566*H566</f>
        <v>0</v>
      </c>
      <c r="BK566" s="34"/>
      <c r="BL566" s="34">
        <v>725</v>
      </c>
      <c r="BW566" s="34">
        <v>21</v>
      </c>
      <c r="BX566" s="3" t="s">
        <v>1087</v>
      </c>
    </row>
    <row r="567" spans="1:76" x14ac:dyDescent="0.25">
      <c r="A567" s="66"/>
      <c r="D567" s="67" t="s">
        <v>138</v>
      </c>
      <c r="E567" s="67" t="s">
        <v>4</v>
      </c>
      <c r="G567" s="68">
        <v>12</v>
      </c>
      <c r="K567" s="59"/>
    </row>
    <row r="568" spans="1:76" x14ac:dyDescent="0.25">
      <c r="A568" s="1" t="s">
        <v>1088</v>
      </c>
      <c r="B568" s="2" t="s">
        <v>84</v>
      </c>
      <c r="C568" s="2" t="s">
        <v>1089</v>
      </c>
      <c r="D568" s="86" t="s">
        <v>1090</v>
      </c>
      <c r="E568" s="81"/>
      <c r="F568" s="2" t="s">
        <v>1072</v>
      </c>
      <c r="G568" s="34">
        <v>0</v>
      </c>
      <c r="H568" s="64">
        <v>0</v>
      </c>
      <c r="I568" s="34">
        <f>ROUND(G568*H568,2)</f>
        <v>0</v>
      </c>
      <c r="J568" s="65" t="s">
        <v>133</v>
      </c>
      <c r="K568" s="59"/>
      <c r="Z568" s="34">
        <f>ROUND(IF(AQ568="5",BJ568,0),2)</f>
        <v>0</v>
      </c>
      <c r="AB568" s="34">
        <f>ROUND(IF(AQ568="1",BH568,0),2)</f>
        <v>0</v>
      </c>
      <c r="AC568" s="34">
        <f>ROUND(IF(AQ568="1",BI568,0),2)</f>
        <v>0</v>
      </c>
      <c r="AD568" s="34">
        <f>ROUND(IF(AQ568="7",BH568,0),2)</f>
        <v>0</v>
      </c>
      <c r="AE568" s="34">
        <f>ROUND(IF(AQ568="7",BI568,0),2)</f>
        <v>0</v>
      </c>
      <c r="AF568" s="34">
        <f>ROUND(IF(AQ568="2",BH568,0),2)</f>
        <v>0</v>
      </c>
      <c r="AG568" s="34">
        <f>ROUND(IF(AQ568="2",BI568,0),2)</f>
        <v>0</v>
      </c>
      <c r="AH568" s="34">
        <f>ROUND(IF(AQ568="0",BJ568,0),2)</f>
        <v>0</v>
      </c>
      <c r="AI568" s="46" t="s">
        <v>84</v>
      </c>
      <c r="AJ568" s="34">
        <f>IF(AN568=0,I568,0)</f>
        <v>0</v>
      </c>
      <c r="AK568" s="34">
        <f>IF(AN568=12,I568,0)</f>
        <v>0</v>
      </c>
      <c r="AL568" s="34">
        <f>IF(AN568=21,I568,0)</f>
        <v>0</v>
      </c>
      <c r="AN568" s="34">
        <v>21</v>
      </c>
      <c r="AO568" s="34">
        <f>H568*0</f>
        <v>0</v>
      </c>
      <c r="AP568" s="34">
        <f>H568*(1-0)</f>
        <v>0</v>
      </c>
      <c r="AQ568" s="65" t="s">
        <v>175</v>
      </c>
      <c r="AV568" s="34">
        <f>ROUND(AW568+AX568,2)</f>
        <v>0</v>
      </c>
      <c r="AW568" s="34">
        <f>ROUND(G568*AO568,2)</f>
        <v>0</v>
      </c>
      <c r="AX568" s="34">
        <f>ROUND(G568*AP568,2)</f>
        <v>0</v>
      </c>
      <c r="AY568" s="65" t="s">
        <v>1073</v>
      </c>
      <c r="AZ568" s="65" t="s">
        <v>1058</v>
      </c>
      <c r="BA568" s="46" t="s">
        <v>136</v>
      </c>
      <c r="BC568" s="34">
        <f>AW568+AX568</f>
        <v>0</v>
      </c>
      <c r="BD568" s="34">
        <f>H568/(100-BE568)*100</f>
        <v>0</v>
      </c>
      <c r="BE568" s="34">
        <v>0</v>
      </c>
      <c r="BF568" s="34">
        <f>568</f>
        <v>568</v>
      </c>
      <c r="BH568" s="34">
        <f>G568*AO568</f>
        <v>0</v>
      </c>
      <c r="BI568" s="34">
        <f>G568*AP568</f>
        <v>0</v>
      </c>
      <c r="BJ568" s="34">
        <f>G568*H568</f>
        <v>0</v>
      </c>
      <c r="BK568" s="34"/>
      <c r="BL568" s="34">
        <v>725</v>
      </c>
      <c r="BW568" s="34">
        <v>21</v>
      </c>
      <c r="BX568" s="3" t="s">
        <v>1090</v>
      </c>
    </row>
    <row r="569" spans="1:76" x14ac:dyDescent="0.25">
      <c r="A569" s="1" t="s">
        <v>1091</v>
      </c>
      <c r="B569" s="2" t="s">
        <v>84</v>
      </c>
      <c r="C569" s="2" t="s">
        <v>1092</v>
      </c>
      <c r="D569" s="86" t="s">
        <v>1093</v>
      </c>
      <c r="E569" s="81"/>
      <c r="F569" s="2" t="s">
        <v>1072</v>
      </c>
      <c r="G569" s="34">
        <v>1</v>
      </c>
      <c r="H569" s="64">
        <v>0</v>
      </c>
      <c r="I569" s="34">
        <f>ROUND(G569*H569,2)</f>
        <v>0</v>
      </c>
      <c r="J569" s="65" t="s">
        <v>133</v>
      </c>
      <c r="K569" s="59"/>
      <c r="Z569" s="34">
        <f>ROUND(IF(AQ569="5",BJ569,0),2)</f>
        <v>0</v>
      </c>
      <c r="AB569" s="34">
        <f>ROUND(IF(AQ569="1",BH569,0),2)</f>
        <v>0</v>
      </c>
      <c r="AC569" s="34">
        <f>ROUND(IF(AQ569="1",BI569,0),2)</f>
        <v>0</v>
      </c>
      <c r="AD569" s="34">
        <f>ROUND(IF(AQ569="7",BH569,0),2)</f>
        <v>0</v>
      </c>
      <c r="AE569" s="34">
        <f>ROUND(IF(AQ569="7",BI569,0),2)</f>
        <v>0</v>
      </c>
      <c r="AF569" s="34">
        <f>ROUND(IF(AQ569="2",BH569,0),2)</f>
        <v>0</v>
      </c>
      <c r="AG569" s="34">
        <f>ROUND(IF(AQ569="2",BI569,0),2)</f>
        <v>0</v>
      </c>
      <c r="AH569" s="34">
        <f>ROUND(IF(AQ569="0",BJ569,0),2)</f>
        <v>0</v>
      </c>
      <c r="AI569" s="46" t="s">
        <v>84</v>
      </c>
      <c r="AJ569" s="34">
        <f>IF(AN569=0,I569,0)</f>
        <v>0</v>
      </c>
      <c r="AK569" s="34">
        <f>IF(AN569=12,I569,0)</f>
        <v>0</v>
      </c>
      <c r="AL569" s="34">
        <f>IF(AN569=21,I569,0)</f>
        <v>0</v>
      </c>
      <c r="AN569" s="34">
        <v>21</v>
      </c>
      <c r="AO569" s="34">
        <f>H569*0.923908661</f>
        <v>0</v>
      </c>
      <c r="AP569" s="34">
        <f>H569*(1-0.923908661)</f>
        <v>0</v>
      </c>
      <c r="AQ569" s="65" t="s">
        <v>175</v>
      </c>
      <c r="AV569" s="34">
        <f>ROUND(AW569+AX569,2)</f>
        <v>0</v>
      </c>
      <c r="AW569" s="34">
        <f>ROUND(G569*AO569,2)</f>
        <v>0</v>
      </c>
      <c r="AX569" s="34">
        <f>ROUND(G569*AP569,2)</f>
        <v>0</v>
      </c>
      <c r="AY569" s="65" t="s">
        <v>1073</v>
      </c>
      <c r="AZ569" s="65" t="s">
        <v>1058</v>
      </c>
      <c r="BA569" s="46" t="s">
        <v>136</v>
      </c>
      <c r="BC569" s="34">
        <f>AW569+AX569</f>
        <v>0</v>
      </c>
      <c r="BD569" s="34">
        <f>H569/(100-BE569)*100</f>
        <v>0</v>
      </c>
      <c r="BE569" s="34">
        <v>0</v>
      </c>
      <c r="BF569" s="34">
        <f>569</f>
        <v>569</v>
      </c>
      <c r="BH569" s="34">
        <f>G569*AO569</f>
        <v>0</v>
      </c>
      <c r="BI569" s="34">
        <f>G569*AP569</f>
        <v>0</v>
      </c>
      <c r="BJ569" s="34">
        <f>G569*H569</f>
        <v>0</v>
      </c>
      <c r="BK569" s="34"/>
      <c r="BL569" s="34">
        <v>725</v>
      </c>
      <c r="BW569" s="34">
        <v>21</v>
      </c>
      <c r="BX569" s="3" t="s">
        <v>1093</v>
      </c>
    </row>
    <row r="570" spans="1:76" x14ac:dyDescent="0.25">
      <c r="A570" s="66"/>
      <c r="D570" s="67" t="s">
        <v>129</v>
      </c>
      <c r="E570" s="67" t="s">
        <v>4</v>
      </c>
      <c r="G570" s="68">
        <v>1</v>
      </c>
      <c r="K570" s="59"/>
    </row>
    <row r="571" spans="1:76" x14ac:dyDescent="0.25">
      <c r="A571" s="1" t="s">
        <v>1094</v>
      </c>
      <c r="B571" s="2" t="s">
        <v>84</v>
      </c>
      <c r="C571" s="2" t="s">
        <v>1095</v>
      </c>
      <c r="D571" s="86" t="s">
        <v>1096</v>
      </c>
      <c r="E571" s="81"/>
      <c r="F571" s="2" t="s">
        <v>1072</v>
      </c>
      <c r="G571" s="34">
        <v>1</v>
      </c>
      <c r="H571" s="64">
        <v>0</v>
      </c>
      <c r="I571" s="34">
        <f>ROUND(G571*H571,2)</f>
        <v>0</v>
      </c>
      <c r="J571" s="65" t="s">
        <v>133</v>
      </c>
      <c r="K571" s="59"/>
      <c r="Z571" s="34">
        <f>ROUND(IF(AQ571="5",BJ571,0),2)</f>
        <v>0</v>
      </c>
      <c r="AB571" s="34">
        <f>ROUND(IF(AQ571="1",BH571,0),2)</f>
        <v>0</v>
      </c>
      <c r="AC571" s="34">
        <f>ROUND(IF(AQ571="1",BI571,0),2)</f>
        <v>0</v>
      </c>
      <c r="AD571" s="34">
        <f>ROUND(IF(AQ571="7",BH571,0),2)</f>
        <v>0</v>
      </c>
      <c r="AE571" s="34">
        <f>ROUND(IF(AQ571="7",BI571,0),2)</f>
        <v>0</v>
      </c>
      <c r="AF571" s="34">
        <f>ROUND(IF(AQ571="2",BH571,0),2)</f>
        <v>0</v>
      </c>
      <c r="AG571" s="34">
        <f>ROUND(IF(AQ571="2",BI571,0),2)</f>
        <v>0</v>
      </c>
      <c r="AH571" s="34">
        <f>ROUND(IF(AQ571="0",BJ571,0),2)</f>
        <v>0</v>
      </c>
      <c r="AI571" s="46" t="s">
        <v>84</v>
      </c>
      <c r="AJ571" s="34">
        <f>IF(AN571=0,I571,0)</f>
        <v>0</v>
      </c>
      <c r="AK571" s="34">
        <f>IF(AN571=12,I571,0)</f>
        <v>0</v>
      </c>
      <c r="AL571" s="34">
        <f>IF(AN571=21,I571,0)</f>
        <v>0</v>
      </c>
      <c r="AN571" s="34">
        <v>21</v>
      </c>
      <c r="AO571" s="34">
        <f>H571*0.888668203</f>
        <v>0</v>
      </c>
      <c r="AP571" s="34">
        <f>H571*(1-0.888668203)</f>
        <v>0</v>
      </c>
      <c r="AQ571" s="65" t="s">
        <v>175</v>
      </c>
      <c r="AV571" s="34">
        <f>ROUND(AW571+AX571,2)</f>
        <v>0</v>
      </c>
      <c r="AW571" s="34">
        <f>ROUND(G571*AO571,2)</f>
        <v>0</v>
      </c>
      <c r="AX571" s="34">
        <f>ROUND(G571*AP571,2)</f>
        <v>0</v>
      </c>
      <c r="AY571" s="65" t="s">
        <v>1073</v>
      </c>
      <c r="AZ571" s="65" t="s">
        <v>1058</v>
      </c>
      <c r="BA571" s="46" t="s">
        <v>136</v>
      </c>
      <c r="BC571" s="34">
        <f>AW571+AX571</f>
        <v>0</v>
      </c>
      <c r="BD571" s="34">
        <f>H571/(100-BE571)*100</f>
        <v>0</v>
      </c>
      <c r="BE571" s="34">
        <v>0</v>
      </c>
      <c r="BF571" s="34">
        <f>571</f>
        <v>571</v>
      </c>
      <c r="BH571" s="34">
        <f>G571*AO571</f>
        <v>0</v>
      </c>
      <c r="BI571" s="34">
        <f>G571*AP571</f>
        <v>0</v>
      </c>
      <c r="BJ571" s="34">
        <f>G571*H571</f>
        <v>0</v>
      </c>
      <c r="BK571" s="34"/>
      <c r="BL571" s="34">
        <v>725</v>
      </c>
      <c r="BW571" s="34">
        <v>21</v>
      </c>
      <c r="BX571" s="3" t="s">
        <v>1096</v>
      </c>
    </row>
    <row r="572" spans="1:76" x14ac:dyDescent="0.25">
      <c r="A572" s="66"/>
      <c r="D572" s="67" t="s">
        <v>129</v>
      </c>
      <c r="E572" s="67" t="s">
        <v>4</v>
      </c>
      <c r="G572" s="68">
        <v>1</v>
      </c>
      <c r="K572" s="59"/>
    </row>
    <row r="573" spans="1:76" x14ac:dyDescent="0.25">
      <c r="A573" s="60" t="s">
        <v>4</v>
      </c>
      <c r="B573" s="61" t="s">
        <v>84</v>
      </c>
      <c r="C573" s="61" t="s">
        <v>1097</v>
      </c>
      <c r="D573" s="167" t="s">
        <v>1098</v>
      </c>
      <c r="E573" s="168"/>
      <c r="F573" s="62" t="s">
        <v>79</v>
      </c>
      <c r="G573" s="62" t="s">
        <v>79</v>
      </c>
      <c r="H573" s="63" t="s">
        <v>79</v>
      </c>
      <c r="I573" s="39">
        <f>SUM(I574:I616)</f>
        <v>0</v>
      </c>
      <c r="J573" s="46" t="s">
        <v>4</v>
      </c>
      <c r="K573" s="59"/>
      <c r="AI573" s="46" t="s">
        <v>84</v>
      </c>
      <c r="AS573" s="39">
        <f>SUM(AJ574:AJ616)</f>
        <v>0</v>
      </c>
      <c r="AT573" s="39">
        <f>SUM(AK574:AK616)</f>
        <v>0</v>
      </c>
      <c r="AU573" s="39">
        <f>SUM(AL574:AL616)</f>
        <v>0</v>
      </c>
    </row>
    <row r="574" spans="1:76" x14ac:dyDescent="0.25">
      <c r="A574" s="1" t="s">
        <v>1099</v>
      </c>
      <c r="B574" s="2" t="s">
        <v>84</v>
      </c>
      <c r="C574" s="2" t="s">
        <v>1100</v>
      </c>
      <c r="D574" s="86" t="s">
        <v>1101</v>
      </c>
      <c r="E574" s="81"/>
      <c r="F574" s="2" t="s">
        <v>132</v>
      </c>
      <c r="G574" s="34">
        <v>232.5</v>
      </c>
      <c r="H574" s="64">
        <v>0</v>
      </c>
      <c r="I574" s="34">
        <f>ROUND(G574*H574,2)</f>
        <v>0</v>
      </c>
      <c r="J574" s="65" t="s">
        <v>133</v>
      </c>
      <c r="K574" s="59"/>
      <c r="Z574" s="34">
        <f>ROUND(IF(AQ574="5",BJ574,0),2)</f>
        <v>0</v>
      </c>
      <c r="AB574" s="34">
        <f>ROUND(IF(AQ574="1",BH574,0),2)</f>
        <v>0</v>
      </c>
      <c r="AC574" s="34">
        <f>ROUND(IF(AQ574="1",BI574,0),2)</f>
        <v>0</v>
      </c>
      <c r="AD574" s="34">
        <f>ROUND(IF(AQ574="7",BH574,0),2)</f>
        <v>0</v>
      </c>
      <c r="AE574" s="34">
        <f>ROUND(IF(AQ574="7",BI574,0),2)</f>
        <v>0</v>
      </c>
      <c r="AF574" s="34">
        <f>ROUND(IF(AQ574="2",BH574,0),2)</f>
        <v>0</v>
      </c>
      <c r="AG574" s="34">
        <f>ROUND(IF(AQ574="2",BI574,0),2)</f>
        <v>0</v>
      </c>
      <c r="AH574" s="34">
        <f>ROUND(IF(AQ574="0",BJ574,0),2)</f>
        <v>0</v>
      </c>
      <c r="AI574" s="46" t="s">
        <v>84</v>
      </c>
      <c r="AJ574" s="34">
        <f>IF(AN574=0,I574,0)</f>
        <v>0</v>
      </c>
      <c r="AK574" s="34">
        <f>IF(AN574=12,I574,0)</f>
        <v>0</v>
      </c>
      <c r="AL574" s="34">
        <f>IF(AN574=21,I574,0)</f>
        <v>0</v>
      </c>
      <c r="AN574" s="34">
        <v>21</v>
      </c>
      <c r="AO574" s="34">
        <f>H574*0</f>
        <v>0</v>
      </c>
      <c r="AP574" s="34">
        <f>H574*(1-0)</f>
        <v>0</v>
      </c>
      <c r="AQ574" s="65" t="s">
        <v>175</v>
      </c>
      <c r="AV574" s="34">
        <f>ROUND(AW574+AX574,2)</f>
        <v>0</v>
      </c>
      <c r="AW574" s="34">
        <f>ROUND(G574*AO574,2)</f>
        <v>0</v>
      </c>
      <c r="AX574" s="34">
        <f>ROUND(G574*AP574,2)</f>
        <v>0</v>
      </c>
      <c r="AY574" s="65" t="s">
        <v>1102</v>
      </c>
      <c r="AZ574" s="65" t="s">
        <v>1103</v>
      </c>
      <c r="BA574" s="46" t="s">
        <v>136</v>
      </c>
      <c r="BC574" s="34">
        <f>AW574+AX574</f>
        <v>0</v>
      </c>
      <c r="BD574" s="34">
        <f>H574/(100-BE574)*100</f>
        <v>0</v>
      </c>
      <c r="BE574" s="34">
        <v>0</v>
      </c>
      <c r="BF574" s="34">
        <f>574</f>
        <v>574</v>
      </c>
      <c r="BH574" s="34">
        <f>G574*AO574</f>
        <v>0</v>
      </c>
      <c r="BI574" s="34">
        <f>G574*AP574</f>
        <v>0</v>
      </c>
      <c r="BJ574" s="34">
        <f>G574*H574</f>
        <v>0</v>
      </c>
      <c r="BK574" s="34"/>
      <c r="BL574" s="34">
        <v>762</v>
      </c>
      <c r="BW574" s="34">
        <v>21</v>
      </c>
      <c r="BX574" s="3" t="s">
        <v>1101</v>
      </c>
    </row>
    <row r="575" spans="1:76" x14ac:dyDescent="0.25">
      <c r="A575" s="66"/>
      <c r="D575" s="67" t="s">
        <v>180</v>
      </c>
      <c r="E575" s="67" t="s">
        <v>895</v>
      </c>
      <c r="G575" s="68">
        <v>17</v>
      </c>
      <c r="K575" s="59"/>
    </row>
    <row r="576" spans="1:76" x14ac:dyDescent="0.25">
      <c r="A576" s="66"/>
      <c r="D576" s="67" t="s">
        <v>971</v>
      </c>
      <c r="E576" s="67" t="s">
        <v>1104</v>
      </c>
      <c r="G576" s="68">
        <v>156</v>
      </c>
      <c r="K576" s="59"/>
    </row>
    <row r="577" spans="1:76" x14ac:dyDescent="0.25">
      <c r="A577" s="66"/>
      <c r="D577" s="67" t="s">
        <v>1105</v>
      </c>
      <c r="E577" s="67" t="s">
        <v>1106</v>
      </c>
      <c r="G577" s="68">
        <v>54</v>
      </c>
      <c r="K577" s="59"/>
    </row>
    <row r="578" spans="1:76" x14ac:dyDescent="0.25">
      <c r="A578" s="66"/>
      <c r="D578" s="67" t="s">
        <v>342</v>
      </c>
      <c r="E578" s="67" t="s">
        <v>1107</v>
      </c>
      <c r="G578" s="68">
        <v>3.5</v>
      </c>
      <c r="K578" s="59"/>
    </row>
    <row r="579" spans="1:76" x14ac:dyDescent="0.25">
      <c r="A579" s="66"/>
      <c r="D579" s="67" t="s">
        <v>140</v>
      </c>
      <c r="E579" s="67" t="s">
        <v>1108</v>
      </c>
      <c r="G579" s="68">
        <v>2</v>
      </c>
      <c r="K579" s="59"/>
    </row>
    <row r="580" spans="1:76" x14ac:dyDescent="0.25">
      <c r="A580" s="1" t="s">
        <v>1109</v>
      </c>
      <c r="B580" s="2" t="s">
        <v>84</v>
      </c>
      <c r="C580" s="2" t="s">
        <v>1110</v>
      </c>
      <c r="D580" s="86" t="s">
        <v>1111</v>
      </c>
      <c r="E580" s="81"/>
      <c r="F580" s="2" t="s">
        <v>239</v>
      </c>
      <c r="G580" s="34">
        <v>594</v>
      </c>
      <c r="H580" s="64">
        <v>0</v>
      </c>
      <c r="I580" s="34">
        <f>ROUND(G580*H580,2)</f>
        <v>0</v>
      </c>
      <c r="J580" s="65" t="s">
        <v>133</v>
      </c>
      <c r="K580" s="59"/>
      <c r="Z580" s="34">
        <f>ROUND(IF(AQ580="5",BJ580,0),2)</f>
        <v>0</v>
      </c>
      <c r="AB580" s="34">
        <f>ROUND(IF(AQ580="1",BH580,0),2)</f>
        <v>0</v>
      </c>
      <c r="AC580" s="34">
        <f>ROUND(IF(AQ580="1",BI580,0),2)</f>
        <v>0</v>
      </c>
      <c r="AD580" s="34">
        <f>ROUND(IF(AQ580="7",BH580,0),2)</f>
        <v>0</v>
      </c>
      <c r="AE580" s="34">
        <f>ROUND(IF(AQ580="7",BI580,0),2)</f>
        <v>0</v>
      </c>
      <c r="AF580" s="34">
        <f>ROUND(IF(AQ580="2",BH580,0),2)</f>
        <v>0</v>
      </c>
      <c r="AG580" s="34">
        <f>ROUND(IF(AQ580="2",BI580,0),2)</f>
        <v>0</v>
      </c>
      <c r="AH580" s="34">
        <f>ROUND(IF(AQ580="0",BJ580,0),2)</f>
        <v>0</v>
      </c>
      <c r="AI580" s="46" t="s">
        <v>84</v>
      </c>
      <c r="AJ580" s="34">
        <f>IF(AN580=0,I580,0)</f>
        <v>0</v>
      </c>
      <c r="AK580" s="34">
        <f>IF(AN580=12,I580,0)</f>
        <v>0</v>
      </c>
      <c r="AL580" s="34">
        <f>IF(AN580=21,I580,0)</f>
        <v>0</v>
      </c>
      <c r="AN580" s="34">
        <v>21</v>
      </c>
      <c r="AO580" s="34">
        <f>H580*0</f>
        <v>0</v>
      </c>
      <c r="AP580" s="34">
        <f>H580*(1-0)</f>
        <v>0</v>
      </c>
      <c r="AQ580" s="65" t="s">
        <v>175</v>
      </c>
      <c r="AV580" s="34">
        <f>ROUND(AW580+AX580,2)</f>
        <v>0</v>
      </c>
      <c r="AW580" s="34">
        <f>ROUND(G580*AO580,2)</f>
        <v>0</v>
      </c>
      <c r="AX580" s="34">
        <f>ROUND(G580*AP580,2)</f>
        <v>0</v>
      </c>
      <c r="AY580" s="65" t="s">
        <v>1102</v>
      </c>
      <c r="AZ580" s="65" t="s">
        <v>1103</v>
      </c>
      <c r="BA580" s="46" t="s">
        <v>136</v>
      </c>
      <c r="BC580" s="34">
        <f>AW580+AX580</f>
        <v>0</v>
      </c>
      <c r="BD580" s="34">
        <f>H580/(100-BE580)*100</f>
        <v>0</v>
      </c>
      <c r="BE580" s="34">
        <v>0</v>
      </c>
      <c r="BF580" s="34">
        <f>580</f>
        <v>580</v>
      </c>
      <c r="BH580" s="34">
        <f>G580*AO580</f>
        <v>0</v>
      </c>
      <c r="BI580" s="34">
        <f>G580*AP580</f>
        <v>0</v>
      </c>
      <c r="BJ580" s="34">
        <f>G580*H580</f>
        <v>0</v>
      </c>
      <c r="BK580" s="34"/>
      <c r="BL580" s="34">
        <v>762</v>
      </c>
      <c r="BW580" s="34">
        <v>21</v>
      </c>
      <c r="BX580" s="3" t="s">
        <v>1111</v>
      </c>
    </row>
    <row r="581" spans="1:76" x14ac:dyDescent="0.25">
      <c r="A581" s="66"/>
      <c r="D581" s="67" t="s">
        <v>1112</v>
      </c>
      <c r="E581" s="67" t="s">
        <v>1113</v>
      </c>
      <c r="G581" s="68">
        <v>52</v>
      </c>
      <c r="K581" s="59"/>
    </row>
    <row r="582" spans="1:76" x14ac:dyDescent="0.25">
      <c r="A582" s="66"/>
      <c r="D582" s="67" t="s">
        <v>1114</v>
      </c>
      <c r="E582" s="67" t="s">
        <v>1115</v>
      </c>
      <c r="G582" s="68">
        <v>512</v>
      </c>
      <c r="K582" s="59"/>
    </row>
    <row r="583" spans="1:76" x14ac:dyDescent="0.25">
      <c r="A583" s="66"/>
      <c r="D583" s="67" t="s">
        <v>357</v>
      </c>
      <c r="E583" s="67" t="s">
        <v>1116</v>
      </c>
      <c r="G583" s="68">
        <v>30</v>
      </c>
      <c r="K583" s="59"/>
    </row>
    <row r="584" spans="1:76" x14ac:dyDescent="0.25">
      <c r="A584" s="1" t="s">
        <v>1117</v>
      </c>
      <c r="B584" s="2" t="s">
        <v>84</v>
      </c>
      <c r="C584" s="2" t="s">
        <v>1118</v>
      </c>
      <c r="D584" s="86" t="s">
        <v>1119</v>
      </c>
      <c r="E584" s="81"/>
      <c r="F584" s="2" t="s">
        <v>239</v>
      </c>
      <c r="G584" s="34">
        <v>35</v>
      </c>
      <c r="H584" s="64">
        <v>0</v>
      </c>
      <c r="I584" s="34">
        <f>ROUND(G584*H584,2)</f>
        <v>0</v>
      </c>
      <c r="J584" s="65" t="s">
        <v>133</v>
      </c>
      <c r="K584" s="59"/>
      <c r="Z584" s="34">
        <f>ROUND(IF(AQ584="5",BJ584,0),2)</f>
        <v>0</v>
      </c>
      <c r="AB584" s="34">
        <f>ROUND(IF(AQ584="1",BH584,0),2)</f>
        <v>0</v>
      </c>
      <c r="AC584" s="34">
        <f>ROUND(IF(AQ584="1",BI584,0),2)</f>
        <v>0</v>
      </c>
      <c r="AD584" s="34">
        <f>ROUND(IF(AQ584="7",BH584,0),2)</f>
        <v>0</v>
      </c>
      <c r="AE584" s="34">
        <f>ROUND(IF(AQ584="7",BI584,0),2)</f>
        <v>0</v>
      </c>
      <c r="AF584" s="34">
        <f>ROUND(IF(AQ584="2",BH584,0),2)</f>
        <v>0</v>
      </c>
      <c r="AG584" s="34">
        <f>ROUND(IF(AQ584="2",BI584,0),2)</f>
        <v>0</v>
      </c>
      <c r="AH584" s="34">
        <f>ROUND(IF(AQ584="0",BJ584,0),2)</f>
        <v>0</v>
      </c>
      <c r="AI584" s="46" t="s">
        <v>84</v>
      </c>
      <c r="AJ584" s="34">
        <f>IF(AN584=0,I584,0)</f>
        <v>0</v>
      </c>
      <c r="AK584" s="34">
        <f>IF(AN584=12,I584,0)</f>
        <v>0</v>
      </c>
      <c r="AL584" s="34">
        <f>IF(AN584=21,I584,0)</f>
        <v>0</v>
      </c>
      <c r="AN584" s="34">
        <v>21</v>
      </c>
      <c r="AO584" s="34">
        <f>H584*0</f>
        <v>0</v>
      </c>
      <c r="AP584" s="34">
        <f>H584*(1-0)</f>
        <v>0</v>
      </c>
      <c r="AQ584" s="65" t="s">
        <v>175</v>
      </c>
      <c r="AV584" s="34">
        <f>ROUND(AW584+AX584,2)</f>
        <v>0</v>
      </c>
      <c r="AW584" s="34">
        <f>ROUND(G584*AO584,2)</f>
        <v>0</v>
      </c>
      <c r="AX584" s="34">
        <f>ROUND(G584*AP584,2)</f>
        <v>0</v>
      </c>
      <c r="AY584" s="65" t="s">
        <v>1102</v>
      </c>
      <c r="AZ584" s="65" t="s">
        <v>1103</v>
      </c>
      <c r="BA584" s="46" t="s">
        <v>136</v>
      </c>
      <c r="BC584" s="34">
        <f>AW584+AX584</f>
        <v>0</v>
      </c>
      <c r="BD584" s="34">
        <f>H584/(100-BE584)*100</f>
        <v>0</v>
      </c>
      <c r="BE584" s="34">
        <v>0</v>
      </c>
      <c r="BF584" s="34">
        <f>584</f>
        <v>584</v>
      </c>
      <c r="BH584" s="34">
        <f>G584*AO584</f>
        <v>0</v>
      </c>
      <c r="BI584" s="34">
        <f>G584*AP584</f>
        <v>0</v>
      </c>
      <c r="BJ584" s="34">
        <f>G584*H584</f>
        <v>0</v>
      </c>
      <c r="BK584" s="34"/>
      <c r="BL584" s="34">
        <v>762</v>
      </c>
      <c r="BW584" s="34">
        <v>21</v>
      </c>
      <c r="BX584" s="3" t="s">
        <v>1119</v>
      </c>
    </row>
    <row r="585" spans="1:76" x14ac:dyDescent="0.25">
      <c r="A585" s="66"/>
      <c r="D585" s="67" t="s">
        <v>1120</v>
      </c>
      <c r="E585" s="67" t="s">
        <v>1121</v>
      </c>
      <c r="G585" s="68">
        <v>35</v>
      </c>
      <c r="K585" s="59"/>
    </row>
    <row r="586" spans="1:76" x14ac:dyDescent="0.25">
      <c r="A586" s="1" t="s">
        <v>1122</v>
      </c>
      <c r="B586" s="2" t="s">
        <v>84</v>
      </c>
      <c r="C586" s="2" t="s">
        <v>1123</v>
      </c>
      <c r="D586" s="86" t="s">
        <v>1124</v>
      </c>
      <c r="E586" s="81"/>
      <c r="F586" s="2" t="s">
        <v>132</v>
      </c>
      <c r="G586" s="34">
        <v>0</v>
      </c>
      <c r="H586" s="64">
        <v>0</v>
      </c>
      <c r="I586" s="34">
        <f>ROUND(G586*H586,2)</f>
        <v>0</v>
      </c>
      <c r="J586" s="65" t="s">
        <v>133</v>
      </c>
      <c r="K586" s="59"/>
      <c r="Z586" s="34">
        <f>ROUND(IF(AQ586="5",BJ586,0),2)</f>
        <v>0</v>
      </c>
      <c r="AB586" s="34">
        <f>ROUND(IF(AQ586="1",BH586,0),2)</f>
        <v>0</v>
      </c>
      <c r="AC586" s="34">
        <f>ROUND(IF(AQ586="1",BI586,0),2)</f>
        <v>0</v>
      </c>
      <c r="AD586" s="34">
        <f>ROUND(IF(AQ586="7",BH586,0),2)</f>
        <v>0</v>
      </c>
      <c r="AE586" s="34">
        <f>ROUND(IF(AQ586="7",BI586,0),2)</f>
        <v>0</v>
      </c>
      <c r="AF586" s="34">
        <f>ROUND(IF(AQ586="2",BH586,0),2)</f>
        <v>0</v>
      </c>
      <c r="AG586" s="34">
        <f>ROUND(IF(AQ586="2",BI586,0),2)</f>
        <v>0</v>
      </c>
      <c r="AH586" s="34">
        <f>ROUND(IF(AQ586="0",BJ586,0),2)</f>
        <v>0</v>
      </c>
      <c r="AI586" s="46" t="s">
        <v>84</v>
      </c>
      <c r="AJ586" s="34">
        <f>IF(AN586=0,I586,0)</f>
        <v>0</v>
      </c>
      <c r="AK586" s="34">
        <f>IF(AN586=12,I586,0)</f>
        <v>0</v>
      </c>
      <c r="AL586" s="34">
        <f>IF(AN586=21,I586,0)</f>
        <v>0</v>
      </c>
      <c r="AN586" s="34">
        <v>21</v>
      </c>
      <c r="AO586" s="34">
        <f>H586*0</f>
        <v>0</v>
      </c>
      <c r="AP586" s="34">
        <f>H586*(1-0)</f>
        <v>0</v>
      </c>
      <c r="AQ586" s="65" t="s">
        <v>175</v>
      </c>
      <c r="AV586" s="34">
        <f>ROUND(AW586+AX586,2)</f>
        <v>0</v>
      </c>
      <c r="AW586" s="34">
        <f>ROUND(G586*AO586,2)</f>
        <v>0</v>
      </c>
      <c r="AX586" s="34">
        <f>ROUND(G586*AP586,2)</f>
        <v>0</v>
      </c>
      <c r="AY586" s="65" t="s">
        <v>1102</v>
      </c>
      <c r="AZ586" s="65" t="s">
        <v>1103</v>
      </c>
      <c r="BA586" s="46" t="s">
        <v>136</v>
      </c>
      <c r="BC586" s="34">
        <f>AW586+AX586</f>
        <v>0</v>
      </c>
      <c r="BD586" s="34">
        <f>H586/(100-BE586)*100</f>
        <v>0</v>
      </c>
      <c r="BE586" s="34">
        <v>0</v>
      </c>
      <c r="BF586" s="34">
        <f>586</f>
        <v>586</v>
      </c>
      <c r="BH586" s="34">
        <f>G586*AO586</f>
        <v>0</v>
      </c>
      <c r="BI586" s="34">
        <f>G586*AP586</f>
        <v>0</v>
      </c>
      <c r="BJ586" s="34">
        <f>G586*H586</f>
        <v>0</v>
      </c>
      <c r="BK586" s="34"/>
      <c r="BL586" s="34">
        <v>762</v>
      </c>
      <c r="BW586" s="34">
        <v>21</v>
      </c>
      <c r="BX586" s="3" t="s">
        <v>1124</v>
      </c>
    </row>
    <row r="587" spans="1:76" x14ac:dyDescent="0.25">
      <c r="A587" s="1" t="s">
        <v>1125</v>
      </c>
      <c r="B587" s="2" t="s">
        <v>84</v>
      </c>
      <c r="C587" s="2" t="s">
        <v>1126</v>
      </c>
      <c r="D587" s="86" t="s">
        <v>1127</v>
      </c>
      <c r="E587" s="81"/>
      <c r="F587" s="2" t="s">
        <v>239</v>
      </c>
      <c r="G587" s="34">
        <v>3</v>
      </c>
      <c r="H587" s="64">
        <v>0</v>
      </c>
      <c r="I587" s="34">
        <f>ROUND(G587*H587,2)</f>
        <v>0</v>
      </c>
      <c r="J587" s="65" t="s">
        <v>133</v>
      </c>
      <c r="K587" s="59"/>
      <c r="Z587" s="34">
        <f>ROUND(IF(AQ587="5",BJ587,0),2)</f>
        <v>0</v>
      </c>
      <c r="AB587" s="34">
        <f>ROUND(IF(AQ587="1",BH587,0),2)</f>
        <v>0</v>
      </c>
      <c r="AC587" s="34">
        <f>ROUND(IF(AQ587="1",BI587,0),2)</f>
        <v>0</v>
      </c>
      <c r="AD587" s="34">
        <f>ROUND(IF(AQ587="7",BH587,0),2)</f>
        <v>0</v>
      </c>
      <c r="AE587" s="34">
        <f>ROUND(IF(AQ587="7",BI587,0),2)</f>
        <v>0</v>
      </c>
      <c r="AF587" s="34">
        <f>ROUND(IF(AQ587="2",BH587,0),2)</f>
        <v>0</v>
      </c>
      <c r="AG587" s="34">
        <f>ROUND(IF(AQ587="2",BI587,0),2)</f>
        <v>0</v>
      </c>
      <c r="AH587" s="34">
        <f>ROUND(IF(AQ587="0",BJ587,0),2)</f>
        <v>0</v>
      </c>
      <c r="AI587" s="46" t="s">
        <v>84</v>
      </c>
      <c r="AJ587" s="34">
        <f>IF(AN587=0,I587,0)</f>
        <v>0</v>
      </c>
      <c r="AK587" s="34">
        <f>IF(AN587=12,I587,0)</f>
        <v>0</v>
      </c>
      <c r="AL587" s="34">
        <f>IF(AN587=21,I587,0)</f>
        <v>0</v>
      </c>
      <c r="AN587" s="34">
        <v>21</v>
      </c>
      <c r="AO587" s="34">
        <f>H587*0.018428291</f>
        <v>0</v>
      </c>
      <c r="AP587" s="34">
        <f>H587*(1-0.018428291)</f>
        <v>0</v>
      </c>
      <c r="AQ587" s="65" t="s">
        <v>175</v>
      </c>
      <c r="AV587" s="34">
        <f>ROUND(AW587+AX587,2)</f>
        <v>0</v>
      </c>
      <c r="AW587" s="34">
        <f>ROUND(G587*AO587,2)</f>
        <v>0</v>
      </c>
      <c r="AX587" s="34">
        <f>ROUND(G587*AP587,2)</f>
        <v>0</v>
      </c>
      <c r="AY587" s="65" t="s">
        <v>1102</v>
      </c>
      <c r="AZ587" s="65" t="s">
        <v>1103</v>
      </c>
      <c r="BA587" s="46" t="s">
        <v>136</v>
      </c>
      <c r="BC587" s="34">
        <f>AW587+AX587</f>
        <v>0</v>
      </c>
      <c r="BD587" s="34">
        <f>H587/(100-BE587)*100</f>
        <v>0</v>
      </c>
      <c r="BE587" s="34">
        <v>0</v>
      </c>
      <c r="BF587" s="34">
        <f>587</f>
        <v>587</v>
      </c>
      <c r="BH587" s="34">
        <f>G587*AO587</f>
        <v>0</v>
      </c>
      <c r="BI587" s="34">
        <f>G587*AP587</f>
        <v>0</v>
      </c>
      <c r="BJ587" s="34">
        <f>G587*H587</f>
        <v>0</v>
      </c>
      <c r="BK587" s="34"/>
      <c r="BL587" s="34">
        <v>762</v>
      </c>
      <c r="BW587" s="34">
        <v>21</v>
      </c>
      <c r="BX587" s="3" t="s">
        <v>1127</v>
      </c>
    </row>
    <row r="588" spans="1:76" x14ac:dyDescent="0.25">
      <c r="A588" s="66"/>
      <c r="D588" s="67" t="s">
        <v>1128</v>
      </c>
      <c r="E588" s="67" t="s">
        <v>1129</v>
      </c>
      <c r="G588" s="68">
        <v>3</v>
      </c>
      <c r="K588" s="59"/>
    </row>
    <row r="589" spans="1:76" x14ac:dyDescent="0.25">
      <c r="A589" s="1" t="s">
        <v>971</v>
      </c>
      <c r="B589" s="2" t="s">
        <v>84</v>
      </c>
      <c r="C589" s="2" t="s">
        <v>1130</v>
      </c>
      <c r="D589" s="86" t="s">
        <v>1131</v>
      </c>
      <c r="E589" s="81"/>
      <c r="F589" s="2" t="s">
        <v>132</v>
      </c>
      <c r="G589" s="34">
        <v>2</v>
      </c>
      <c r="H589" s="64">
        <v>0</v>
      </c>
      <c r="I589" s="34">
        <f>ROUND(G589*H589,2)</f>
        <v>0</v>
      </c>
      <c r="J589" s="65" t="s">
        <v>133</v>
      </c>
      <c r="K589" s="59"/>
      <c r="Z589" s="34">
        <f>ROUND(IF(AQ589="5",BJ589,0),2)</f>
        <v>0</v>
      </c>
      <c r="AB589" s="34">
        <f>ROUND(IF(AQ589="1",BH589,0),2)</f>
        <v>0</v>
      </c>
      <c r="AC589" s="34">
        <f>ROUND(IF(AQ589="1",BI589,0),2)</f>
        <v>0</v>
      </c>
      <c r="AD589" s="34">
        <f>ROUND(IF(AQ589="7",BH589,0),2)</f>
        <v>0</v>
      </c>
      <c r="AE589" s="34">
        <f>ROUND(IF(AQ589="7",BI589,0),2)</f>
        <v>0</v>
      </c>
      <c r="AF589" s="34">
        <f>ROUND(IF(AQ589="2",BH589,0),2)</f>
        <v>0</v>
      </c>
      <c r="AG589" s="34">
        <f>ROUND(IF(AQ589="2",BI589,0),2)</f>
        <v>0</v>
      </c>
      <c r="AH589" s="34">
        <f>ROUND(IF(AQ589="0",BJ589,0),2)</f>
        <v>0</v>
      </c>
      <c r="AI589" s="46" t="s">
        <v>84</v>
      </c>
      <c r="AJ589" s="34">
        <f>IF(AN589=0,I589,0)</f>
        <v>0</v>
      </c>
      <c r="AK589" s="34">
        <f>IF(AN589=12,I589,0)</f>
        <v>0</v>
      </c>
      <c r="AL589" s="34">
        <f>IF(AN589=21,I589,0)</f>
        <v>0</v>
      </c>
      <c r="AN589" s="34">
        <v>21</v>
      </c>
      <c r="AO589" s="34">
        <f>H589*0.008950382</f>
        <v>0</v>
      </c>
      <c r="AP589" s="34">
        <f>H589*(1-0.008950382)</f>
        <v>0</v>
      </c>
      <c r="AQ589" s="65" t="s">
        <v>175</v>
      </c>
      <c r="AV589" s="34">
        <f>ROUND(AW589+AX589,2)</f>
        <v>0</v>
      </c>
      <c r="AW589" s="34">
        <f>ROUND(G589*AO589,2)</f>
        <v>0</v>
      </c>
      <c r="AX589" s="34">
        <f>ROUND(G589*AP589,2)</f>
        <v>0</v>
      </c>
      <c r="AY589" s="65" t="s">
        <v>1102</v>
      </c>
      <c r="AZ589" s="65" t="s">
        <v>1103</v>
      </c>
      <c r="BA589" s="46" t="s">
        <v>136</v>
      </c>
      <c r="BC589" s="34">
        <f>AW589+AX589</f>
        <v>0</v>
      </c>
      <c r="BD589" s="34">
        <f>H589/(100-BE589)*100</f>
        <v>0</v>
      </c>
      <c r="BE589" s="34">
        <v>0</v>
      </c>
      <c r="BF589" s="34">
        <f>589</f>
        <v>589</v>
      </c>
      <c r="BH589" s="34">
        <f>G589*AO589</f>
        <v>0</v>
      </c>
      <c r="BI589" s="34">
        <f>G589*AP589</f>
        <v>0</v>
      </c>
      <c r="BJ589" s="34">
        <f>G589*H589</f>
        <v>0</v>
      </c>
      <c r="BK589" s="34"/>
      <c r="BL589" s="34">
        <v>762</v>
      </c>
      <c r="BW589" s="34">
        <v>21</v>
      </c>
      <c r="BX589" s="3" t="s">
        <v>1131</v>
      </c>
    </row>
    <row r="590" spans="1:76" x14ac:dyDescent="0.25">
      <c r="A590" s="66"/>
      <c r="D590" s="67" t="s">
        <v>140</v>
      </c>
      <c r="E590" s="67" t="s">
        <v>1132</v>
      </c>
      <c r="G590" s="68">
        <v>2</v>
      </c>
      <c r="K590" s="59"/>
    </row>
    <row r="591" spans="1:76" x14ac:dyDescent="0.25">
      <c r="A591" s="1" t="s">
        <v>1133</v>
      </c>
      <c r="B591" s="2" t="s">
        <v>84</v>
      </c>
      <c r="C591" s="2" t="s">
        <v>1134</v>
      </c>
      <c r="D591" s="86" t="s">
        <v>1135</v>
      </c>
      <c r="E591" s="81"/>
      <c r="F591" s="2" t="s">
        <v>132</v>
      </c>
      <c r="G591" s="34">
        <v>25</v>
      </c>
      <c r="H591" s="64">
        <v>0</v>
      </c>
      <c r="I591" s="34">
        <f>ROUND(G591*H591,2)</f>
        <v>0</v>
      </c>
      <c r="J591" s="65" t="s">
        <v>133</v>
      </c>
      <c r="K591" s="59"/>
      <c r="Z591" s="34">
        <f>ROUND(IF(AQ591="5",BJ591,0),2)</f>
        <v>0</v>
      </c>
      <c r="AB591" s="34">
        <f>ROUND(IF(AQ591="1",BH591,0),2)</f>
        <v>0</v>
      </c>
      <c r="AC591" s="34">
        <f>ROUND(IF(AQ591="1",BI591,0),2)</f>
        <v>0</v>
      </c>
      <c r="AD591" s="34">
        <f>ROUND(IF(AQ591="7",BH591,0),2)</f>
        <v>0</v>
      </c>
      <c r="AE591" s="34">
        <f>ROUND(IF(AQ591="7",BI591,0),2)</f>
        <v>0</v>
      </c>
      <c r="AF591" s="34">
        <f>ROUND(IF(AQ591="2",BH591,0),2)</f>
        <v>0</v>
      </c>
      <c r="AG591" s="34">
        <f>ROUND(IF(AQ591="2",BI591,0),2)</f>
        <v>0</v>
      </c>
      <c r="AH591" s="34">
        <f>ROUND(IF(AQ591="0",BJ591,0),2)</f>
        <v>0</v>
      </c>
      <c r="AI591" s="46" t="s">
        <v>84</v>
      </c>
      <c r="AJ591" s="34">
        <f>IF(AN591=0,I591,0)</f>
        <v>0</v>
      </c>
      <c r="AK591" s="34">
        <f>IF(AN591=12,I591,0)</f>
        <v>0</v>
      </c>
      <c r="AL591" s="34">
        <f>IF(AN591=21,I591,0)</f>
        <v>0</v>
      </c>
      <c r="AN591" s="34">
        <v>21</v>
      </c>
      <c r="AO591" s="34">
        <f>H591*0.53327852</f>
        <v>0</v>
      </c>
      <c r="AP591" s="34">
        <f>H591*(1-0.53327852)</f>
        <v>0</v>
      </c>
      <c r="AQ591" s="65" t="s">
        <v>175</v>
      </c>
      <c r="AV591" s="34">
        <f>ROUND(AW591+AX591,2)</f>
        <v>0</v>
      </c>
      <c r="AW591" s="34">
        <f>ROUND(G591*AO591,2)</f>
        <v>0</v>
      </c>
      <c r="AX591" s="34">
        <f>ROUND(G591*AP591,2)</f>
        <v>0</v>
      </c>
      <c r="AY591" s="65" t="s">
        <v>1102</v>
      </c>
      <c r="AZ591" s="65" t="s">
        <v>1103</v>
      </c>
      <c r="BA591" s="46" t="s">
        <v>136</v>
      </c>
      <c r="BC591" s="34">
        <f>AW591+AX591</f>
        <v>0</v>
      </c>
      <c r="BD591" s="34">
        <f>H591/(100-BE591)*100</f>
        <v>0</v>
      </c>
      <c r="BE591" s="34">
        <v>0</v>
      </c>
      <c r="BF591" s="34">
        <f>591</f>
        <v>591</v>
      </c>
      <c r="BH591" s="34">
        <f>G591*AO591</f>
        <v>0</v>
      </c>
      <c r="BI591" s="34">
        <f>G591*AP591</f>
        <v>0</v>
      </c>
      <c r="BJ591" s="34">
        <f>G591*H591</f>
        <v>0</v>
      </c>
      <c r="BK591" s="34"/>
      <c r="BL591" s="34">
        <v>762</v>
      </c>
      <c r="BW591" s="34">
        <v>21</v>
      </c>
      <c r="BX591" s="3" t="s">
        <v>1135</v>
      </c>
    </row>
    <row r="592" spans="1:76" ht="13.5" customHeight="1" x14ac:dyDescent="0.25">
      <c r="A592" s="66"/>
      <c r="C592" s="69" t="s">
        <v>204</v>
      </c>
      <c r="D592" s="169" t="s">
        <v>1136</v>
      </c>
      <c r="E592" s="170"/>
      <c r="F592" s="170"/>
      <c r="G592" s="170"/>
      <c r="H592" s="171"/>
      <c r="I592" s="170"/>
      <c r="J592" s="170"/>
      <c r="K592" s="172"/>
    </row>
    <row r="593" spans="1:76" x14ac:dyDescent="0.25">
      <c r="A593" s="66"/>
      <c r="D593" s="67" t="s">
        <v>304</v>
      </c>
      <c r="E593" s="67" t="s">
        <v>4</v>
      </c>
      <c r="G593" s="68">
        <v>25</v>
      </c>
      <c r="K593" s="59"/>
    </row>
    <row r="594" spans="1:76" x14ac:dyDescent="0.25">
      <c r="A594" s="1" t="s">
        <v>1137</v>
      </c>
      <c r="B594" s="2" t="s">
        <v>84</v>
      </c>
      <c r="C594" s="2" t="s">
        <v>1138</v>
      </c>
      <c r="D594" s="86" t="s">
        <v>1139</v>
      </c>
      <c r="E594" s="81"/>
      <c r="F594" s="2" t="s">
        <v>239</v>
      </c>
      <c r="G594" s="34">
        <v>4.5</v>
      </c>
      <c r="H594" s="64">
        <v>0</v>
      </c>
      <c r="I594" s="34">
        <f>ROUND(G594*H594,2)</f>
        <v>0</v>
      </c>
      <c r="J594" s="65" t="s">
        <v>133</v>
      </c>
      <c r="K594" s="59"/>
      <c r="Z594" s="34">
        <f>ROUND(IF(AQ594="5",BJ594,0),2)</f>
        <v>0</v>
      </c>
      <c r="AB594" s="34">
        <f>ROUND(IF(AQ594="1",BH594,0),2)</f>
        <v>0</v>
      </c>
      <c r="AC594" s="34">
        <f>ROUND(IF(AQ594="1",BI594,0),2)</f>
        <v>0</v>
      </c>
      <c r="AD594" s="34">
        <f>ROUND(IF(AQ594="7",BH594,0),2)</f>
        <v>0</v>
      </c>
      <c r="AE594" s="34">
        <f>ROUND(IF(AQ594="7",BI594,0),2)</f>
        <v>0</v>
      </c>
      <c r="AF594" s="34">
        <f>ROUND(IF(AQ594="2",BH594,0),2)</f>
        <v>0</v>
      </c>
      <c r="AG594" s="34">
        <f>ROUND(IF(AQ594="2",BI594,0),2)</f>
        <v>0</v>
      </c>
      <c r="AH594" s="34">
        <f>ROUND(IF(AQ594="0",BJ594,0),2)</f>
        <v>0</v>
      </c>
      <c r="AI594" s="46" t="s">
        <v>84</v>
      </c>
      <c r="AJ594" s="34">
        <f>IF(AN594=0,I594,0)</f>
        <v>0</v>
      </c>
      <c r="AK594" s="34">
        <f>IF(AN594=12,I594,0)</f>
        <v>0</v>
      </c>
      <c r="AL594" s="34">
        <f>IF(AN594=21,I594,0)</f>
        <v>0</v>
      </c>
      <c r="AN594" s="34">
        <v>21</v>
      </c>
      <c r="AO594" s="34">
        <f>H594*0</f>
        <v>0</v>
      </c>
      <c r="AP594" s="34">
        <f>H594*(1-0)</f>
        <v>0</v>
      </c>
      <c r="AQ594" s="65" t="s">
        <v>175</v>
      </c>
      <c r="AV594" s="34">
        <f>ROUND(AW594+AX594,2)</f>
        <v>0</v>
      </c>
      <c r="AW594" s="34">
        <f>ROUND(G594*AO594,2)</f>
        <v>0</v>
      </c>
      <c r="AX594" s="34">
        <f>ROUND(G594*AP594,2)</f>
        <v>0</v>
      </c>
      <c r="AY594" s="65" t="s">
        <v>1102</v>
      </c>
      <c r="AZ594" s="65" t="s">
        <v>1103</v>
      </c>
      <c r="BA594" s="46" t="s">
        <v>136</v>
      </c>
      <c r="BC594" s="34">
        <f>AW594+AX594</f>
        <v>0</v>
      </c>
      <c r="BD594" s="34">
        <f>H594/(100-BE594)*100</f>
        <v>0</v>
      </c>
      <c r="BE594" s="34">
        <v>0</v>
      </c>
      <c r="BF594" s="34">
        <f>594</f>
        <v>594</v>
      </c>
      <c r="BH594" s="34">
        <f>G594*AO594</f>
        <v>0</v>
      </c>
      <c r="BI594" s="34">
        <f>G594*AP594</f>
        <v>0</v>
      </c>
      <c r="BJ594" s="34">
        <f>G594*H594</f>
        <v>0</v>
      </c>
      <c r="BK594" s="34"/>
      <c r="BL594" s="34">
        <v>762</v>
      </c>
      <c r="BW594" s="34">
        <v>21</v>
      </c>
      <c r="BX594" s="3" t="s">
        <v>1139</v>
      </c>
    </row>
    <row r="595" spans="1:76" x14ac:dyDescent="0.25">
      <c r="A595" s="66"/>
      <c r="D595" s="67" t="s">
        <v>1140</v>
      </c>
      <c r="E595" s="67" t="s">
        <v>1141</v>
      </c>
      <c r="G595" s="68">
        <v>4.5</v>
      </c>
      <c r="K595" s="59"/>
    </row>
    <row r="596" spans="1:76" x14ac:dyDescent="0.25">
      <c r="A596" s="1" t="s">
        <v>1142</v>
      </c>
      <c r="B596" s="2" t="s">
        <v>84</v>
      </c>
      <c r="C596" s="2" t="s">
        <v>1143</v>
      </c>
      <c r="D596" s="86" t="s">
        <v>1144</v>
      </c>
      <c r="E596" s="81"/>
      <c r="F596" s="2" t="s">
        <v>239</v>
      </c>
      <c r="G596" s="34">
        <v>4.5</v>
      </c>
      <c r="H596" s="64">
        <v>0</v>
      </c>
      <c r="I596" s="34">
        <f>ROUND(G596*H596,2)</f>
        <v>0</v>
      </c>
      <c r="J596" s="65" t="s">
        <v>133</v>
      </c>
      <c r="K596" s="59"/>
      <c r="Z596" s="34">
        <f>ROUND(IF(AQ596="5",BJ596,0),2)</f>
        <v>0</v>
      </c>
      <c r="AB596" s="34">
        <f>ROUND(IF(AQ596="1",BH596,0),2)</f>
        <v>0</v>
      </c>
      <c r="AC596" s="34">
        <f>ROUND(IF(AQ596="1",BI596,0),2)</f>
        <v>0</v>
      </c>
      <c r="AD596" s="34">
        <f>ROUND(IF(AQ596="7",BH596,0),2)</f>
        <v>0</v>
      </c>
      <c r="AE596" s="34">
        <f>ROUND(IF(AQ596="7",BI596,0),2)</f>
        <v>0</v>
      </c>
      <c r="AF596" s="34">
        <f>ROUND(IF(AQ596="2",BH596,0),2)</f>
        <v>0</v>
      </c>
      <c r="AG596" s="34">
        <f>ROUND(IF(AQ596="2",BI596,0),2)</f>
        <v>0</v>
      </c>
      <c r="AH596" s="34">
        <f>ROUND(IF(AQ596="0",BJ596,0),2)</f>
        <v>0</v>
      </c>
      <c r="AI596" s="46" t="s">
        <v>84</v>
      </c>
      <c r="AJ596" s="34">
        <f>IF(AN596=0,I596,0)</f>
        <v>0</v>
      </c>
      <c r="AK596" s="34">
        <f>IF(AN596=12,I596,0)</f>
        <v>0</v>
      </c>
      <c r="AL596" s="34">
        <f>IF(AN596=21,I596,0)</f>
        <v>0</v>
      </c>
      <c r="AN596" s="34">
        <v>21</v>
      </c>
      <c r="AO596" s="34">
        <f>H596*1</f>
        <v>0</v>
      </c>
      <c r="AP596" s="34">
        <f>H596*(1-1)</f>
        <v>0</v>
      </c>
      <c r="AQ596" s="65" t="s">
        <v>175</v>
      </c>
      <c r="AV596" s="34">
        <f>ROUND(AW596+AX596,2)</f>
        <v>0</v>
      </c>
      <c r="AW596" s="34">
        <f>ROUND(G596*AO596,2)</f>
        <v>0</v>
      </c>
      <c r="AX596" s="34">
        <f>ROUND(G596*AP596,2)</f>
        <v>0</v>
      </c>
      <c r="AY596" s="65" t="s">
        <v>1102</v>
      </c>
      <c r="AZ596" s="65" t="s">
        <v>1103</v>
      </c>
      <c r="BA596" s="46" t="s">
        <v>136</v>
      </c>
      <c r="BC596" s="34">
        <f>AW596+AX596</f>
        <v>0</v>
      </c>
      <c r="BD596" s="34">
        <f>H596/(100-BE596)*100</f>
        <v>0</v>
      </c>
      <c r="BE596" s="34">
        <v>0</v>
      </c>
      <c r="BF596" s="34">
        <f>596</f>
        <v>596</v>
      </c>
      <c r="BH596" s="34">
        <f>G596*AO596</f>
        <v>0</v>
      </c>
      <c r="BI596" s="34">
        <f>G596*AP596</f>
        <v>0</v>
      </c>
      <c r="BJ596" s="34">
        <f>G596*H596</f>
        <v>0</v>
      </c>
      <c r="BK596" s="34"/>
      <c r="BL596" s="34">
        <v>762</v>
      </c>
      <c r="BW596" s="34">
        <v>21</v>
      </c>
      <c r="BX596" s="3" t="s">
        <v>1144</v>
      </c>
    </row>
    <row r="597" spans="1:76" x14ac:dyDescent="0.25">
      <c r="A597" s="66"/>
      <c r="D597" s="67" t="s">
        <v>1140</v>
      </c>
      <c r="E597" s="67" t="s">
        <v>4</v>
      </c>
      <c r="G597" s="68">
        <v>4.5</v>
      </c>
      <c r="K597" s="59"/>
    </row>
    <row r="598" spans="1:76" x14ac:dyDescent="0.25">
      <c r="A598" s="1" t="s">
        <v>854</v>
      </c>
      <c r="B598" s="2" t="s">
        <v>84</v>
      </c>
      <c r="C598" s="2" t="s">
        <v>1145</v>
      </c>
      <c r="D598" s="86" t="s">
        <v>1146</v>
      </c>
      <c r="E598" s="81"/>
      <c r="F598" s="2" t="s">
        <v>132</v>
      </c>
      <c r="G598" s="34">
        <v>2</v>
      </c>
      <c r="H598" s="64">
        <v>0</v>
      </c>
      <c r="I598" s="34">
        <f>ROUND(G598*H598,2)</f>
        <v>0</v>
      </c>
      <c r="J598" s="65" t="s">
        <v>133</v>
      </c>
      <c r="K598" s="59"/>
      <c r="Z598" s="34">
        <f>ROUND(IF(AQ598="5",BJ598,0),2)</f>
        <v>0</v>
      </c>
      <c r="AB598" s="34">
        <f>ROUND(IF(AQ598="1",BH598,0),2)</f>
        <v>0</v>
      </c>
      <c r="AC598" s="34">
        <f>ROUND(IF(AQ598="1",BI598,0),2)</f>
        <v>0</v>
      </c>
      <c r="AD598" s="34">
        <f>ROUND(IF(AQ598="7",BH598,0),2)</f>
        <v>0</v>
      </c>
      <c r="AE598" s="34">
        <f>ROUND(IF(AQ598="7",BI598,0),2)</f>
        <v>0</v>
      </c>
      <c r="AF598" s="34">
        <f>ROUND(IF(AQ598="2",BH598,0),2)</f>
        <v>0</v>
      </c>
      <c r="AG598" s="34">
        <f>ROUND(IF(AQ598="2",BI598,0),2)</f>
        <v>0</v>
      </c>
      <c r="AH598" s="34">
        <f>ROUND(IF(AQ598="0",BJ598,0),2)</f>
        <v>0</v>
      </c>
      <c r="AI598" s="46" t="s">
        <v>84</v>
      </c>
      <c r="AJ598" s="34">
        <f>IF(AN598=0,I598,0)</f>
        <v>0</v>
      </c>
      <c r="AK598" s="34">
        <f>IF(AN598=12,I598,0)</f>
        <v>0</v>
      </c>
      <c r="AL598" s="34">
        <f>IF(AN598=21,I598,0)</f>
        <v>0</v>
      </c>
      <c r="AN598" s="34">
        <v>21</v>
      </c>
      <c r="AO598" s="34">
        <f>H598*0.018208696</f>
        <v>0</v>
      </c>
      <c r="AP598" s="34">
        <f>H598*(1-0.018208696)</f>
        <v>0</v>
      </c>
      <c r="AQ598" s="65" t="s">
        <v>175</v>
      </c>
      <c r="AV598" s="34">
        <f>ROUND(AW598+AX598,2)</f>
        <v>0</v>
      </c>
      <c r="AW598" s="34">
        <f>ROUND(G598*AO598,2)</f>
        <v>0</v>
      </c>
      <c r="AX598" s="34">
        <f>ROUND(G598*AP598,2)</f>
        <v>0</v>
      </c>
      <c r="AY598" s="65" t="s">
        <v>1102</v>
      </c>
      <c r="AZ598" s="65" t="s">
        <v>1103</v>
      </c>
      <c r="BA598" s="46" t="s">
        <v>136</v>
      </c>
      <c r="BC598" s="34">
        <f>AW598+AX598</f>
        <v>0</v>
      </c>
      <c r="BD598" s="34">
        <f>H598/(100-BE598)*100</f>
        <v>0</v>
      </c>
      <c r="BE598" s="34">
        <v>0</v>
      </c>
      <c r="BF598" s="34">
        <f>598</f>
        <v>598</v>
      </c>
      <c r="BH598" s="34">
        <f>G598*AO598</f>
        <v>0</v>
      </c>
      <c r="BI598" s="34">
        <f>G598*AP598</f>
        <v>0</v>
      </c>
      <c r="BJ598" s="34">
        <f>G598*H598</f>
        <v>0</v>
      </c>
      <c r="BK598" s="34"/>
      <c r="BL598" s="34">
        <v>762</v>
      </c>
      <c r="BW598" s="34">
        <v>21</v>
      </c>
      <c r="BX598" s="3" t="s">
        <v>1146</v>
      </c>
    </row>
    <row r="599" spans="1:76" ht="13.5" customHeight="1" x14ac:dyDescent="0.25">
      <c r="A599" s="66"/>
      <c r="C599" s="69" t="s">
        <v>204</v>
      </c>
      <c r="D599" s="169" t="s">
        <v>1147</v>
      </c>
      <c r="E599" s="170"/>
      <c r="F599" s="170"/>
      <c r="G599" s="170"/>
      <c r="H599" s="171"/>
      <c r="I599" s="170"/>
      <c r="J599" s="170"/>
      <c r="K599" s="172"/>
    </row>
    <row r="600" spans="1:76" x14ac:dyDescent="0.25">
      <c r="A600" s="66"/>
      <c r="D600" s="67" t="s">
        <v>140</v>
      </c>
      <c r="E600" s="67" t="s">
        <v>1148</v>
      </c>
      <c r="G600" s="68">
        <v>2</v>
      </c>
      <c r="K600" s="59"/>
    </row>
    <row r="601" spans="1:76" x14ac:dyDescent="0.25">
      <c r="A601" s="1" t="s">
        <v>1149</v>
      </c>
      <c r="B601" s="2" t="s">
        <v>84</v>
      </c>
      <c r="C601" s="2" t="s">
        <v>1150</v>
      </c>
      <c r="D601" s="86" t="s">
        <v>1151</v>
      </c>
      <c r="E601" s="81"/>
      <c r="F601" s="2" t="s">
        <v>132</v>
      </c>
      <c r="G601" s="34">
        <v>2</v>
      </c>
      <c r="H601" s="64">
        <v>0</v>
      </c>
      <c r="I601" s="34">
        <f>ROUND(G601*H601,2)</f>
        <v>0</v>
      </c>
      <c r="J601" s="65" t="s">
        <v>133</v>
      </c>
      <c r="K601" s="59"/>
      <c r="Z601" s="34">
        <f>ROUND(IF(AQ601="5",BJ601,0),2)</f>
        <v>0</v>
      </c>
      <c r="AB601" s="34">
        <f>ROUND(IF(AQ601="1",BH601,0),2)</f>
        <v>0</v>
      </c>
      <c r="AC601" s="34">
        <f>ROUND(IF(AQ601="1",BI601,0),2)</f>
        <v>0</v>
      </c>
      <c r="AD601" s="34">
        <f>ROUND(IF(AQ601="7",BH601,0),2)</f>
        <v>0</v>
      </c>
      <c r="AE601" s="34">
        <f>ROUND(IF(AQ601="7",BI601,0),2)</f>
        <v>0</v>
      </c>
      <c r="AF601" s="34">
        <f>ROUND(IF(AQ601="2",BH601,0),2)</f>
        <v>0</v>
      </c>
      <c r="AG601" s="34">
        <f>ROUND(IF(AQ601="2",BI601,0),2)</f>
        <v>0</v>
      </c>
      <c r="AH601" s="34">
        <f>ROUND(IF(AQ601="0",BJ601,0),2)</f>
        <v>0</v>
      </c>
      <c r="AI601" s="46" t="s">
        <v>84</v>
      </c>
      <c r="AJ601" s="34">
        <f>IF(AN601=0,I601,0)</f>
        <v>0</v>
      </c>
      <c r="AK601" s="34">
        <f>IF(AN601=12,I601,0)</f>
        <v>0</v>
      </c>
      <c r="AL601" s="34">
        <f>IF(AN601=21,I601,0)</f>
        <v>0</v>
      </c>
      <c r="AN601" s="34">
        <v>21</v>
      </c>
      <c r="AO601" s="34">
        <f>H601*1</f>
        <v>0</v>
      </c>
      <c r="AP601" s="34">
        <f>H601*(1-1)</f>
        <v>0</v>
      </c>
      <c r="AQ601" s="65" t="s">
        <v>175</v>
      </c>
      <c r="AV601" s="34">
        <f>ROUND(AW601+AX601,2)</f>
        <v>0</v>
      </c>
      <c r="AW601" s="34">
        <f>ROUND(G601*AO601,2)</f>
        <v>0</v>
      </c>
      <c r="AX601" s="34">
        <f>ROUND(G601*AP601,2)</f>
        <v>0</v>
      </c>
      <c r="AY601" s="65" t="s">
        <v>1102</v>
      </c>
      <c r="AZ601" s="65" t="s">
        <v>1103</v>
      </c>
      <c r="BA601" s="46" t="s">
        <v>136</v>
      </c>
      <c r="BC601" s="34">
        <f>AW601+AX601</f>
        <v>0</v>
      </c>
      <c r="BD601" s="34">
        <f>H601/(100-BE601)*100</f>
        <v>0</v>
      </c>
      <c r="BE601" s="34">
        <v>0</v>
      </c>
      <c r="BF601" s="34">
        <f>601</f>
        <v>601</v>
      </c>
      <c r="BH601" s="34">
        <f>G601*AO601</f>
        <v>0</v>
      </c>
      <c r="BI601" s="34">
        <f>G601*AP601</f>
        <v>0</v>
      </c>
      <c r="BJ601" s="34">
        <f>G601*H601</f>
        <v>0</v>
      </c>
      <c r="BK601" s="34"/>
      <c r="BL601" s="34">
        <v>762</v>
      </c>
      <c r="BW601" s="34">
        <v>21</v>
      </c>
      <c r="BX601" s="3" t="s">
        <v>1151</v>
      </c>
    </row>
    <row r="602" spans="1:76" x14ac:dyDescent="0.25">
      <c r="A602" s="66"/>
      <c r="D602" s="67" t="s">
        <v>140</v>
      </c>
      <c r="E602" s="67" t="s">
        <v>4</v>
      </c>
      <c r="G602" s="68">
        <v>2</v>
      </c>
      <c r="K602" s="59"/>
    </row>
    <row r="603" spans="1:76" x14ac:dyDescent="0.25">
      <c r="A603" s="1" t="s">
        <v>1152</v>
      </c>
      <c r="B603" s="2" t="s">
        <v>84</v>
      </c>
      <c r="C603" s="2" t="s">
        <v>1153</v>
      </c>
      <c r="D603" s="86" t="s">
        <v>1154</v>
      </c>
      <c r="E603" s="81"/>
      <c r="F603" s="2" t="s">
        <v>239</v>
      </c>
      <c r="G603" s="34">
        <v>67.599999999999994</v>
      </c>
      <c r="H603" s="64">
        <v>0</v>
      </c>
      <c r="I603" s="34">
        <f>ROUND(G603*H603,2)</f>
        <v>0</v>
      </c>
      <c r="J603" s="65" t="s">
        <v>133</v>
      </c>
      <c r="K603" s="59"/>
      <c r="Z603" s="34">
        <f>ROUND(IF(AQ603="5",BJ603,0),2)</f>
        <v>0</v>
      </c>
      <c r="AB603" s="34">
        <f>ROUND(IF(AQ603="1",BH603,0),2)</f>
        <v>0</v>
      </c>
      <c r="AC603" s="34">
        <f>ROUND(IF(AQ603="1",BI603,0),2)</f>
        <v>0</v>
      </c>
      <c r="AD603" s="34">
        <f>ROUND(IF(AQ603="7",BH603,0),2)</f>
        <v>0</v>
      </c>
      <c r="AE603" s="34">
        <f>ROUND(IF(AQ603="7",BI603,0),2)</f>
        <v>0</v>
      </c>
      <c r="AF603" s="34">
        <f>ROUND(IF(AQ603="2",BH603,0),2)</f>
        <v>0</v>
      </c>
      <c r="AG603" s="34">
        <f>ROUND(IF(AQ603="2",BI603,0),2)</f>
        <v>0</v>
      </c>
      <c r="AH603" s="34">
        <f>ROUND(IF(AQ603="0",BJ603,0),2)</f>
        <v>0</v>
      </c>
      <c r="AI603" s="46" t="s">
        <v>84</v>
      </c>
      <c r="AJ603" s="34">
        <f>IF(AN603=0,I603,0)</f>
        <v>0</v>
      </c>
      <c r="AK603" s="34">
        <f>IF(AN603=12,I603,0)</f>
        <v>0</v>
      </c>
      <c r="AL603" s="34">
        <f>IF(AN603=21,I603,0)</f>
        <v>0</v>
      </c>
      <c r="AN603" s="34">
        <v>21</v>
      </c>
      <c r="AO603" s="34">
        <f>H603*0.399001815</f>
        <v>0</v>
      </c>
      <c r="AP603" s="34">
        <f>H603*(1-0.399001815)</f>
        <v>0</v>
      </c>
      <c r="AQ603" s="65" t="s">
        <v>175</v>
      </c>
      <c r="AV603" s="34">
        <f>ROUND(AW603+AX603,2)</f>
        <v>0</v>
      </c>
      <c r="AW603" s="34">
        <f>ROUND(G603*AO603,2)</f>
        <v>0</v>
      </c>
      <c r="AX603" s="34">
        <f>ROUND(G603*AP603,2)</f>
        <v>0</v>
      </c>
      <c r="AY603" s="65" t="s">
        <v>1102</v>
      </c>
      <c r="AZ603" s="65" t="s">
        <v>1103</v>
      </c>
      <c r="BA603" s="46" t="s">
        <v>136</v>
      </c>
      <c r="BC603" s="34">
        <f>AW603+AX603</f>
        <v>0</v>
      </c>
      <c r="BD603" s="34">
        <f>H603/(100-BE603)*100</f>
        <v>0</v>
      </c>
      <c r="BE603" s="34">
        <v>0</v>
      </c>
      <c r="BF603" s="34">
        <f>603</f>
        <v>603</v>
      </c>
      <c r="BH603" s="34">
        <f>G603*AO603</f>
        <v>0</v>
      </c>
      <c r="BI603" s="34">
        <f>G603*AP603</f>
        <v>0</v>
      </c>
      <c r="BJ603" s="34">
        <f>G603*H603</f>
        <v>0</v>
      </c>
      <c r="BK603" s="34"/>
      <c r="BL603" s="34">
        <v>762</v>
      </c>
      <c r="BW603" s="34">
        <v>21</v>
      </c>
      <c r="BX603" s="3" t="s">
        <v>1154</v>
      </c>
    </row>
    <row r="604" spans="1:76" ht="13.5" customHeight="1" x14ac:dyDescent="0.25">
      <c r="A604" s="66"/>
      <c r="C604" s="69" t="s">
        <v>204</v>
      </c>
      <c r="D604" s="169" t="s">
        <v>1155</v>
      </c>
      <c r="E604" s="170"/>
      <c r="F604" s="170"/>
      <c r="G604" s="170"/>
      <c r="H604" s="171"/>
      <c r="I604" s="170"/>
      <c r="J604" s="170"/>
      <c r="K604" s="172"/>
    </row>
    <row r="605" spans="1:76" x14ac:dyDescent="0.25">
      <c r="A605" s="66"/>
      <c r="D605" s="67" t="s">
        <v>1156</v>
      </c>
      <c r="E605" s="67" t="s">
        <v>1157</v>
      </c>
      <c r="G605" s="68">
        <v>67.599999999999994</v>
      </c>
      <c r="K605" s="59"/>
    </row>
    <row r="606" spans="1:76" x14ac:dyDescent="0.25">
      <c r="A606" s="1" t="s">
        <v>1158</v>
      </c>
      <c r="B606" s="2" t="s">
        <v>84</v>
      </c>
      <c r="C606" s="2" t="s">
        <v>1159</v>
      </c>
      <c r="D606" s="86" t="s">
        <v>1160</v>
      </c>
      <c r="E606" s="81"/>
      <c r="F606" s="2" t="s">
        <v>239</v>
      </c>
      <c r="G606" s="34">
        <v>11.5</v>
      </c>
      <c r="H606" s="64">
        <v>0</v>
      </c>
      <c r="I606" s="34">
        <f>ROUND(G606*H606,2)</f>
        <v>0</v>
      </c>
      <c r="J606" s="65" t="s">
        <v>133</v>
      </c>
      <c r="K606" s="59"/>
      <c r="Z606" s="34">
        <f>ROUND(IF(AQ606="5",BJ606,0),2)</f>
        <v>0</v>
      </c>
      <c r="AB606" s="34">
        <f>ROUND(IF(AQ606="1",BH606,0),2)</f>
        <v>0</v>
      </c>
      <c r="AC606" s="34">
        <f>ROUND(IF(AQ606="1",BI606,0),2)</f>
        <v>0</v>
      </c>
      <c r="AD606" s="34">
        <f>ROUND(IF(AQ606="7",BH606,0),2)</f>
        <v>0</v>
      </c>
      <c r="AE606" s="34">
        <f>ROUND(IF(AQ606="7",BI606,0),2)</f>
        <v>0</v>
      </c>
      <c r="AF606" s="34">
        <f>ROUND(IF(AQ606="2",BH606,0),2)</f>
        <v>0</v>
      </c>
      <c r="AG606" s="34">
        <f>ROUND(IF(AQ606="2",BI606,0),2)</f>
        <v>0</v>
      </c>
      <c r="AH606" s="34">
        <f>ROUND(IF(AQ606="0",BJ606,0),2)</f>
        <v>0</v>
      </c>
      <c r="AI606" s="46" t="s">
        <v>84</v>
      </c>
      <c r="AJ606" s="34">
        <f>IF(AN606=0,I606,0)</f>
        <v>0</v>
      </c>
      <c r="AK606" s="34">
        <f>IF(AN606=12,I606,0)</f>
        <v>0</v>
      </c>
      <c r="AL606" s="34">
        <f>IF(AN606=21,I606,0)</f>
        <v>0</v>
      </c>
      <c r="AN606" s="34">
        <v>21</v>
      </c>
      <c r="AO606" s="34">
        <f>H606*0.344236161</f>
        <v>0</v>
      </c>
      <c r="AP606" s="34">
        <f>H606*(1-0.344236161)</f>
        <v>0</v>
      </c>
      <c r="AQ606" s="65" t="s">
        <v>175</v>
      </c>
      <c r="AV606" s="34">
        <f>ROUND(AW606+AX606,2)</f>
        <v>0</v>
      </c>
      <c r="AW606" s="34">
        <f>ROUND(G606*AO606,2)</f>
        <v>0</v>
      </c>
      <c r="AX606" s="34">
        <f>ROUND(G606*AP606,2)</f>
        <v>0</v>
      </c>
      <c r="AY606" s="65" t="s">
        <v>1102</v>
      </c>
      <c r="AZ606" s="65" t="s">
        <v>1103</v>
      </c>
      <c r="BA606" s="46" t="s">
        <v>136</v>
      </c>
      <c r="BC606" s="34">
        <f>AW606+AX606</f>
        <v>0</v>
      </c>
      <c r="BD606" s="34">
        <f>H606/(100-BE606)*100</f>
        <v>0</v>
      </c>
      <c r="BE606" s="34">
        <v>0</v>
      </c>
      <c r="BF606" s="34">
        <f>606</f>
        <v>606</v>
      </c>
      <c r="BH606" s="34">
        <f>G606*AO606</f>
        <v>0</v>
      </c>
      <c r="BI606" s="34">
        <f>G606*AP606</f>
        <v>0</v>
      </c>
      <c r="BJ606" s="34">
        <f>G606*H606</f>
        <v>0</v>
      </c>
      <c r="BK606" s="34"/>
      <c r="BL606" s="34">
        <v>762</v>
      </c>
      <c r="BW606" s="34">
        <v>21</v>
      </c>
      <c r="BX606" s="3" t="s">
        <v>1160</v>
      </c>
    </row>
    <row r="607" spans="1:76" ht="13.5" customHeight="1" x14ac:dyDescent="0.25">
      <c r="A607" s="66"/>
      <c r="C607" s="69" t="s">
        <v>204</v>
      </c>
      <c r="D607" s="169" t="s">
        <v>1161</v>
      </c>
      <c r="E607" s="170"/>
      <c r="F607" s="170"/>
      <c r="G607" s="170"/>
      <c r="H607" s="171"/>
      <c r="I607" s="170"/>
      <c r="J607" s="170"/>
      <c r="K607" s="172"/>
    </row>
    <row r="608" spans="1:76" x14ac:dyDescent="0.25">
      <c r="A608" s="66"/>
      <c r="D608" s="67" t="s">
        <v>473</v>
      </c>
      <c r="E608" s="67" t="s">
        <v>1162</v>
      </c>
      <c r="G608" s="68">
        <v>11.5</v>
      </c>
      <c r="K608" s="59"/>
    </row>
    <row r="609" spans="1:76" x14ac:dyDescent="0.25">
      <c r="A609" s="1" t="s">
        <v>1163</v>
      </c>
      <c r="B609" s="2" t="s">
        <v>84</v>
      </c>
      <c r="C609" s="2" t="s">
        <v>1164</v>
      </c>
      <c r="D609" s="86" t="s">
        <v>1160</v>
      </c>
      <c r="E609" s="81"/>
      <c r="F609" s="2" t="s">
        <v>239</v>
      </c>
      <c r="G609" s="34">
        <v>38.9</v>
      </c>
      <c r="H609" s="64">
        <v>0</v>
      </c>
      <c r="I609" s="34">
        <f>ROUND(G609*H609,2)</f>
        <v>0</v>
      </c>
      <c r="J609" s="65" t="s">
        <v>133</v>
      </c>
      <c r="K609" s="59"/>
      <c r="Z609" s="34">
        <f>ROUND(IF(AQ609="5",BJ609,0),2)</f>
        <v>0</v>
      </c>
      <c r="AB609" s="34">
        <f>ROUND(IF(AQ609="1",BH609,0),2)</f>
        <v>0</v>
      </c>
      <c r="AC609" s="34">
        <f>ROUND(IF(AQ609="1",BI609,0),2)</f>
        <v>0</v>
      </c>
      <c r="AD609" s="34">
        <f>ROUND(IF(AQ609="7",BH609,0),2)</f>
        <v>0</v>
      </c>
      <c r="AE609" s="34">
        <f>ROUND(IF(AQ609="7",BI609,0),2)</f>
        <v>0</v>
      </c>
      <c r="AF609" s="34">
        <f>ROUND(IF(AQ609="2",BH609,0),2)</f>
        <v>0</v>
      </c>
      <c r="AG609" s="34">
        <f>ROUND(IF(AQ609="2",BI609,0),2)</f>
        <v>0</v>
      </c>
      <c r="AH609" s="34">
        <f>ROUND(IF(AQ609="0",BJ609,0),2)</f>
        <v>0</v>
      </c>
      <c r="AI609" s="46" t="s">
        <v>84</v>
      </c>
      <c r="AJ609" s="34">
        <f>IF(AN609=0,I609,0)</f>
        <v>0</v>
      </c>
      <c r="AK609" s="34">
        <f>IF(AN609=12,I609,0)</f>
        <v>0</v>
      </c>
      <c r="AL609" s="34">
        <f>IF(AN609=21,I609,0)</f>
        <v>0</v>
      </c>
      <c r="AN609" s="34">
        <v>21</v>
      </c>
      <c r="AO609" s="34">
        <f>H609*0.307330373</f>
        <v>0</v>
      </c>
      <c r="AP609" s="34">
        <f>H609*(1-0.307330373)</f>
        <v>0</v>
      </c>
      <c r="AQ609" s="65" t="s">
        <v>175</v>
      </c>
      <c r="AV609" s="34">
        <f>ROUND(AW609+AX609,2)</f>
        <v>0</v>
      </c>
      <c r="AW609" s="34">
        <f>ROUND(G609*AO609,2)</f>
        <v>0</v>
      </c>
      <c r="AX609" s="34">
        <f>ROUND(G609*AP609,2)</f>
        <v>0</v>
      </c>
      <c r="AY609" s="65" t="s">
        <v>1102</v>
      </c>
      <c r="AZ609" s="65" t="s">
        <v>1103</v>
      </c>
      <c r="BA609" s="46" t="s">
        <v>136</v>
      </c>
      <c r="BC609" s="34">
        <f>AW609+AX609</f>
        <v>0</v>
      </c>
      <c r="BD609" s="34">
        <f>H609/(100-BE609)*100</f>
        <v>0</v>
      </c>
      <c r="BE609" s="34">
        <v>0</v>
      </c>
      <c r="BF609" s="34">
        <f>609</f>
        <v>609</v>
      </c>
      <c r="BH609" s="34">
        <f>G609*AO609</f>
        <v>0</v>
      </c>
      <c r="BI609" s="34">
        <f>G609*AP609</f>
        <v>0</v>
      </c>
      <c r="BJ609" s="34">
        <f>G609*H609</f>
        <v>0</v>
      </c>
      <c r="BK609" s="34"/>
      <c r="BL609" s="34">
        <v>762</v>
      </c>
      <c r="BW609" s="34">
        <v>21</v>
      </c>
      <c r="BX609" s="3" t="s">
        <v>1160</v>
      </c>
    </row>
    <row r="610" spans="1:76" ht="13.5" customHeight="1" x14ac:dyDescent="0.25">
      <c r="A610" s="66"/>
      <c r="C610" s="69" t="s">
        <v>204</v>
      </c>
      <c r="D610" s="169" t="s">
        <v>1165</v>
      </c>
      <c r="E610" s="170"/>
      <c r="F610" s="170"/>
      <c r="G610" s="170"/>
      <c r="H610" s="171"/>
      <c r="I610" s="170"/>
      <c r="J610" s="170"/>
      <c r="K610" s="172"/>
    </row>
    <row r="611" spans="1:76" x14ac:dyDescent="0.25">
      <c r="A611" s="66"/>
      <c r="D611" s="67" t="s">
        <v>1166</v>
      </c>
      <c r="E611" s="67" t="s">
        <v>1167</v>
      </c>
      <c r="G611" s="68">
        <v>38.9</v>
      </c>
      <c r="K611" s="59"/>
    </row>
    <row r="612" spans="1:76" x14ac:dyDescent="0.25">
      <c r="A612" s="1" t="s">
        <v>1168</v>
      </c>
      <c r="B612" s="2" t="s">
        <v>84</v>
      </c>
      <c r="C612" s="2" t="s">
        <v>1169</v>
      </c>
      <c r="D612" s="86" t="s">
        <v>1170</v>
      </c>
      <c r="E612" s="81"/>
      <c r="F612" s="2" t="s">
        <v>132</v>
      </c>
      <c r="G612" s="34">
        <v>12.6</v>
      </c>
      <c r="H612" s="64">
        <v>0</v>
      </c>
      <c r="I612" s="34">
        <f>ROUND(G612*H612,2)</f>
        <v>0</v>
      </c>
      <c r="J612" s="65" t="s">
        <v>133</v>
      </c>
      <c r="K612" s="59"/>
      <c r="Z612" s="34">
        <f>ROUND(IF(AQ612="5",BJ612,0),2)</f>
        <v>0</v>
      </c>
      <c r="AB612" s="34">
        <f>ROUND(IF(AQ612="1",BH612,0),2)</f>
        <v>0</v>
      </c>
      <c r="AC612" s="34">
        <f>ROUND(IF(AQ612="1",BI612,0),2)</f>
        <v>0</v>
      </c>
      <c r="AD612" s="34">
        <f>ROUND(IF(AQ612="7",BH612,0),2)</f>
        <v>0</v>
      </c>
      <c r="AE612" s="34">
        <f>ROUND(IF(AQ612="7",BI612,0),2)</f>
        <v>0</v>
      </c>
      <c r="AF612" s="34">
        <f>ROUND(IF(AQ612="2",BH612,0),2)</f>
        <v>0</v>
      </c>
      <c r="AG612" s="34">
        <f>ROUND(IF(AQ612="2",BI612,0),2)</f>
        <v>0</v>
      </c>
      <c r="AH612" s="34">
        <f>ROUND(IF(AQ612="0",BJ612,0),2)</f>
        <v>0</v>
      </c>
      <c r="AI612" s="46" t="s">
        <v>84</v>
      </c>
      <c r="AJ612" s="34">
        <f>IF(AN612=0,I612,0)</f>
        <v>0</v>
      </c>
      <c r="AK612" s="34">
        <f>IF(AN612=12,I612,0)</f>
        <v>0</v>
      </c>
      <c r="AL612" s="34">
        <f>IF(AN612=21,I612,0)</f>
        <v>0</v>
      </c>
      <c r="AN612" s="34">
        <v>21</v>
      </c>
      <c r="AO612" s="34">
        <f>H612*0.053596372</f>
        <v>0</v>
      </c>
      <c r="AP612" s="34">
        <f>H612*(1-0.053596372)</f>
        <v>0</v>
      </c>
      <c r="AQ612" s="65" t="s">
        <v>175</v>
      </c>
      <c r="AV612" s="34">
        <f>ROUND(AW612+AX612,2)</f>
        <v>0</v>
      </c>
      <c r="AW612" s="34">
        <f>ROUND(G612*AO612,2)</f>
        <v>0</v>
      </c>
      <c r="AX612" s="34">
        <f>ROUND(G612*AP612,2)</f>
        <v>0</v>
      </c>
      <c r="AY612" s="65" t="s">
        <v>1102</v>
      </c>
      <c r="AZ612" s="65" t="s">
        <v>1103</v>
      </c>
      <c r="BA612" s="46" t="s">
        <v>136</v>
      </c>
      <c r="BC612" s="34">
        <f>AW612+AX612</f>
        <v>0</v>
      </c>
      <c r="BD612" s="34">
        <f>H612/(100-BE612)*100</f>
        <v>0</v>
      </c>
      <c r="BE612" s="34">
        <v>0</v>
      </c>
      <c r="BF612" s="34">
        <f>612</f>
        <v>612</v>
      </c>
      <c r="BH612" s="34">
        <f>G612*AO612</f>
        <v>0</v>
      </c>
      <c r="BI612" s="34">
        <f>G612*AP612</f>
        <v>0</v>
      </c>
      <c r="BJ612" s="34">
        <f>G612*H612</f>
        <v>0</v>
      </c>
      <c r="BK612" s="34"/>
      <c r="BL612" s="34">
        <v>762</v>
      </c>
      <c r="BW612" s="34">
        <v>21</v>
      </c>
      <c r="BX612" s="3" t="s">
        <v>1170</v>
      </c>
    </row>
    <row r="613" spans="1:76" x14ac:dyDescent="0.25">
      <c r="A613" s="66"/>
      <c r="D613" s="67" t="s">
        <v>1171</v>
      </c>
      <c r="E613" s="67" t="s">
        <v>1172</v>
      </c>
      <c r="G613" s="68">
        <v>12.6</v>
      </c>
      <c r="K613" s="59"/>
    </row>
    <row r="614" spans="1:76" x14ac:dyDescent="0.25">
      <c r="A614" s="1" t="s">
        <v>1173</v>
      </c>
      <c r="B614" s="2" t="s">
        <v>84</v>
      </c>
      <c r="C614" s="2" t="s">
        <v>1150</v>
      </c>
      <c r="D614" s="86" t="s">
        <v>1151</v>
      </c>
      <c r="E614" s="81"/>
      <c r="F614" s="2" t="s">
        <v>132</v>
      </c>
      <c r="G614" s="34">
        <v>13.86</v>
      </c>
      <c r="H614" s="64">
        <v>0</v>
      </c>
      <c r="I614" s="34">
        <f>ROUND(G614*H614,2)</f>
        <v>0</v>
      </c>
      <c r="J614" s="65" t="s">
        <v>133</v>
      </c>
      <c r="K614" s="59"/>
      <c r="Z614" s="34">
        <f>ROUND(IF(AQ614="5",BJ614,0),2)</f>
        <v>0</v>
      </c>
      <c r="AB614" s="34">
        <f>ROUND(IF(AQ614="1",BH614,0),2)</f>
        <v>0</v>
      </c>
      <c r="AC614" s="34">
        <f>ROUND(IF(AQ614="1",BI614,0),2)</f>
        <v>0</v>
      </c>
      <c r="AD614" s="34">
        <f>ROUND(IF(AQ614="7",BH614,0),2)</f>
        <v>0</v>
      </c>
      <c r="AE614" s="34">
        <f>ROUND(IF(AQ614="7",BI614,0),2)</f>
        <v>0</v>
      </c>
      <c r="AF614" s="34">
        <f>ROUND(IF(AQ614="2",BH614,0),2)</f>
        <v>0</v>
      </c>
      <c r="AG614" s="34">
        <f>ROUND(IF(AQ614="2",BI614,0),2)</f>
        <v>0</v>
      </c>
      <c r="AH614" s="34">
        <f>ROUND(IF(AQ614="0",BJ614,0),2)</f>
        <v>0</v>
      </c>
      <c r="AI614" s="46" t="s">
        <v>84</v>
      </c>
      <c r="AJ614" s="34">
        <f>IF(AN614=0,I614,0)</f>
        <v>0</v>
      </c>
      <c r="AK614" s="34">
        <f>IF(AN614=12,I614,0)</f>
        <v>0</v>
      </c>
      <c r="AL614" s="34">
        <f>IF(AN614=21,I614,0)</f>
        <v>0</v>
      </c>
      <c r="AN614" s="34">
        <v>21</v>
      </c>
      <c r="AO614" s="34">
        <f>H614*1</f>
        <v>0</v>
      </c>
      <c r="AP614" s="34">
        <f>H614*(1-1)</f>
        <v>0</v>
      </c>
      <c r="AQ614" s="65" t="s">
        <v>175</v>
      </c>
      <c r="AV614" s="34">
        <f>ROUND(AW614+AX614,2)</f>
        <v>0</v>
      </c>
      <c r="AW614" s="34">
        <f>ROUND(G614*AO614,2)</f>
        <v>0</v>
      </c>
      <c r="AX614" s="34">
        <f>ROUND(G614*AP614,2)</f>
        <v>0</v>
      </c>
      <c r="AY614" s="65" t="s">
        <v>1102</v>
      </c>
      <c r="AZ614" s="65" t="s">
        <v>1103</v>
      </c>
      <c r="BA614" s="46" t="s">
        <v>136</v>
      </c>
      <c r="BC614" s="34">
        <f>AW614+AX614</f>
        <v>0</v>
      </c>
      <c r="BD614" s="34">
        <f>H614/(100-BE614)*100</f>
        <v>0</v>
      </c>
      <c r="BE614" s="34">
        <v>0</v>
      </c>
      <c r="BF614" s="34">
        <f>614</f>
        <v>614</v>
      </c>
      <c r="BH614" s="34">
        <f>G614*AO614</f>
        <v>0</v>
      </c>
      <c r="BI614" s="34">
        <f>G614*AP614</f>
        <v>0</v>
      </c>
      <c r="BJ614" s="34">
        <f>G614*H614</f>
        <v>0</v>
      </c>
      <c r="BK614" s="34"/>
      <c r="BL614" s="34">
        <v>762</v>
      </c>
      <c r="BW614" s="34">
        <v>21</v>
      </c>
      <c r="BX614" s="3" t="s">
        <v>1151</v>
      </c>
    </row>
    <row r="615" spans="1:76" x14ac:dyDescent="0.25">
      <c r="A615" s="66"/>
      <c r="D615" s="67" t="s">
        <v>1174</v>
      </c>
      <c r="E615" s="67" t="s">
        <v>1175</v>
      </c>
      <c r="G615" s="68">
        <v>13.86</v>
      </c>
      <c r="K615" s="59"/>
    </row>
    <row r="616" spans="1:76" x14ac:dyDescent="0.25">
      <c r="A616" s="1" t="s">
        <v>1176</v>
      </c>
      <c r="B616" s="2" t="s">
        <v>84</v>
      </c>
      <c r="C616" s="2" t="s">
        <v>1177</v>
      </c>
      <c r="D616" s="86" t="s">
        <v>1178</v>
      </c>
      <c r="E616" s="81"/>
      <c r="F616" s="2" t="s">
        <v>178</v>
      </c>
      <c r="G616" s="34">
        <v>10.50201</v>
      </c>
      <c r="H616" s="64">
        <v>0</v>
      </c>
      <c r="I616" s="34">
        <f>ROUND(G616*H616,2)</f>
        <v>0</v>
      </c>
      <c r="J616" s="65" t="s">
        <v>133</v>
      </c>
      <c r="K616" s="59"/>
      <c r="Z616" s="34">
        <f>ROUND(IF(AQ616="5",BJ616,0),2)</f>
        <v>0</v>
      </c>
      <c r="AB616" s="34">
        <f>ROUND(IF(AQ616="1",BH616,0),2)</f>
        <v>0</v>
      </c>
      <c r="AC616" s="34">
        <f>ROUND(IF(AQ616="1",BI616,0),2)</f>
        <v>0</v>
      </c>
      <c r="AD616" s="34">
        <f>ROUND(IF(AQ616="7",BH616,0),2)</f>
        <v>0</v>
      </c>
      <c r="AE616" s="34">
        <f>ROUND(IF(AQ616="7",BI616,0),2)</f>
        <v>0</v>
      </c>
      <c r="AF616" s="34">
        <f>ROUND(IF(AQ616="2",BH616,0),2)</f>
        <v>0</v>
      </c>
      <c r="AG616" s="34">
        <f>ROUND(IF(AQ616="2",BI616,0),2)</f>
        <v>0</v>
      </c>
      <c r="AH616" s="34">
        <f>ROUND(IF(AQ616="0",BJ616,0),2)</f>
        <v>0</v>
      </c>
      <c r="AI616" s="46" t="s">
        <v>84</v>
      </c>
      <c r="AJ616" s="34">
        <f>IF(AN616=0,I616,0)</f>
        <v>0</v>
      </c>
      <c r="AK616" s="34">
        <f>IF(AN616=12,I616,0)</f>
        <v>0</v>
      </c>
      <c r="AL616" s="34">
        <f>IF(AN616=21,I616,0)</f>
        <v>0</v>
      </c>
      <c r="AN616" s="34">
        <v>21</v>
      </c>
      <c r="AO616" s="34">
        <f>H616*0</f>
        <v>0</v>
      </c>
      <c r="AP616" s="34">
        <f>H616*(1-0)</f>
        <v>0</v>
      </c>
      <c r="AQ616" s="65" t="s">
        <v>166</v>
      </c>
      <c r="AV616" s="34">
        <f>ROUND(AW616+AX616,2)</f>
        <v>0</v>
      </c>
      <c r="AW616" s="34">
        <f>ROUND(G616*AO616,2)</f>
        <v>0</v>
      </c>
      <c r="AX616" s="34">
        <f>ROUND(G616*AP616,2)</f>
        <v>0</v>
      </c>
      <c r="AY616" s="65" t="s">
        <v>1102</v>
      </c>
      <c r="AZ616" s="65" t="s">
        <v>1103</v>
      </c>
      <c r="BA616" s="46" t="s">
        <v>136</v>
      </c>
      <c r="BC616" s="34">
        <f>AW616+AX616</f>
        <v>0</v>
      </c>
      <c r="BD616" s="34">
        <f>H616/(100-BE616)*100</f>
        <v>0</v>
      </c>
      <c r="BE616" s="34">
        <v>0</v>
      </c>
      <c r="BF616" s="34">
        <f>616</f>
        <v>616</v>
      </c>
      <c r="BH616" s="34">
        <f>G616*AO616</f>
        <v>0</v>
      </c>
      <c r="BI616" s="34">
        <f>G616*AP616</f>
        <v>0</v>
      </c>
      <c r="BJ616" s="34">
        <f>G616*H616</f>
        <v>0</v>
      </c>
      <c r="BK616" s="34"/>
      <c r="BL616" s="34">
        <v>762</v>
      </c>
      <c r="BW616" s="34">
        <v>21</v>
      </c>
      <c r="BX616" s="3" t="s">
        <v>1178</v>
      </c>
    </row>
    <row r="617" spans="1:76" x14ac:dyDescent="0.25">
      <c r="A617" s="60" t="s">
        <v>4</v>
      </c>
      <c r="B617" s="61" t="s">
        <v>84</v>
      </c>
      <c r="C617" s="61" t="s">
        <v>1179</v>
      </c>
      <c r="D617" s="167" t="s">
        <v>1180</v>
      </c>
      <c r="E617" s="168"/>
      <c r="F617" s="62" t="s">
        <v>79</v>
      </c>
      <c r="G617" s="62" t="s">
        <v>79</v>
      </c>
      <c r="H617" s="63" t="s">
        <v>79</v>
      </c>
      <c r="I617" s="39">
        <f>SUM(I618:I669)</f>
        <v>0</v>
      </c>
      <c r="J617" s="46" t="s">
        <v>4</v>
      </c>
      <c r="K617" s="59"/>
      <c r="AI617" s="46" t="s">
        <v>84</v>
      </c>
      <c r="AS617" s="39">
        <f>SUM(AJ618:AJ669)</f>
        <v>0</v>
      </c>
      <c r="AT617" s="39">
        <f>SUM(AK618:AK669)</f>
        <v>0</v>
      </c>
      <c r="AU617" s="39">
        <f>SUM(AL618:AL669)</f>
        <v>0</v>
      </c>
    </row>
    <row r="618" spans="1:76" x14ac:dyDescent="0.25">
      <c r="A618" s="1" t="s">
        <v>1181</v>
      </c>
      <c r="B618" s="2" t="s">
        <v>84</v>
      </c>
      <c r="C618" s="2" t="s">
        <v>1182</v>
      </c>
      <c r="D618" s="86" t="s">
        <v>1183</v>
      </c>
      <c r="E618" s="81"/>
      <c r="F618" s="2" t="s">
        <v>132</v>
      </c>
      <c r="G618" s="34">
        <v>200</v>
      </c>
      <c r="H618" s="64">
        <v>0</v>
      </c>
      <c r="I618" s="34">
        <f>ROUND(G618*H618,2)</f>
        <v>0</v>
      </c>
      <c r="J618" s="65" t="s">
        <v>133</v>
      </c>
      <c r="K618" s="59"/>
      <c r="Z618" s="34">
        <f>ROUND(IF(AQ618="5",BJ618,0),2)</f>
        <v>0</v>
      </c>
      <c r="AB618" s="34">
        <f>ROUND(IF(AQ618="1",BH618,0),2)</f>
        <v>0</v>
      </c>
      <c r="AC618" s="34">
        <f>ROUND(IF(AQ618="1",BI618,0),2)</f>
        <v>0</v>
      </c>
      <c r="AD618" s="34">
        <f>ROUND(IF(AQ618="7",BH618,0),2)</f>
        <v>0</v>
      </c>
      <c r="AE618" s="34">
        <f>ROUND(IF(AQ618="7",BI618,0),2)</f>
        <v>0</v>
      </c>
      <c r="AF618" s="34">
        <f>ROUND(IF(AQ618="2",BH618,0),2)</f>
        <v>0</v>
      </c>
      <c r="AG618" s="34">
        <f>ROUND(IF(AQ618="2",BI618,0),2)</f>
        <v>0</v>
      </c>
      <c r="AH618" s="34">
        <f>ROUND(IF(AQ618="0",BJ618,0),2)</f>
        <v>0</v>
      </c>
      <c r="AI618" s="46" t="s">
        <v>84</v>
      </c>
      <c r="AJ618" s="34">
        <f>IF(AN618=0,I618,0)</f>
        <v>0</v>
      </c>
      <c r="AK618" s="34">
        <f>IF(AN618=12,I618,0)</f>
        <v>0</v>
      </c>
      <c r="AL618" s="34">
        <f>IF(AN618=21,I618,0)</f>
        <v>0</v>
      </c>
      <c r="AN618" s="34">
        <v>21</v>
      </c>
      <c r="AO618" s="34">
        <f>H618*0</f>
        <v>0</v>
      </c>
      <c r="AP618" s="34">
        <f>H618*(1-0)</f>
        <v>0</v>
      </c>
      <c r="AQ618" s="65" t="s">
        <v>175</v>
      </c>
      <c r="AV618" s="34">
        <f>ROUND(AW618+AX618,2)</f>
        <v>0</v>
      </c>
      <c r="AW618" s="34">
        <f>ROUND(G618*AO618,2)</f>
        <v>0</v>
      </c>
      <c r="AX618" s="34">
        <f>ROUND(G618*AP618,2)</f>
        <v>0</v>
      </c>
      <c r="AY618" s="65" t="s">
        <v>1184</v>
      </c>
      <c r="AZ618" s="65" t="s">
        <v>1103</v>
      </c>
      <c r="BA618" s="46" t="s">
        <v>136</v>
      </c>
      <c r="BC618" s="34">
        <f>AW618+AX618</f>
        <v>0</v>
      </c>
      <c r="BD618" s="34">
        <f>H618/(100-BE618)*100</f>
        <v>0</v>
      </c>
      <c r="BE618" s="34">
        <v>0</v>
      </c>
      <c r="BF618" s="34">
        <f>618</f>
        <v>618</v>
      </c>
      <c r="BH618" s="34">
        <f>G618*AO618</f>
        <v>0</v>
      </c>
      <c r="BI618" s="34">
        <f>G618*AP618</f>
        <v>0</v>
      </c>
      <c r="BJ618" s="34">
        <f>G618*H618</f>
        <v>0</v>
      </c>
      <c r="BK618" s="34"/>
      <c r="BL618" s="34">
        <v>764</v>
      </c>
      <c r="BW618" s="34">
        <v>21</v>
      </c>
      <c r="BX618" s="3" t="s">
        <v>1183</v>
      </c>
    </row>
    <row r="619" spans="1:76" ht="13.5" customHeight="1" x14ac:dyDescent="0.25">
      <c r="A619" s="66"/>
      <c r="C619" s="69" t="s">
        <v>204</v>
      </c>
      <c r="D619" s="169" t="s">
        <v>1185</v>
      </c>
      <c r="E619" s="170"/>
      <c r="F619" s="170"/>
      <c r="G619" s="170"/>
      <c r="H619" s="171"/>
      <c r="I619" s="170"/>
      <c r="J619" s="170"/>
      <c r="K619" s="172"/>
    </row>
    <row r="620" spans="1:76" x14ac:dyDescent="0.25">
      <c r="A620" s="66"/>
      <c r="D620" s="67" t="s">
        <v>180</v>
      </c>
      <c r="E620" s="67" t="s">
        <v>895</v>
      </c>
      <c r="G620" s="68">
        <v>17</v>
      </c>
      <c r="K620" s="59"/>
    </row>
    <row r="621" spans="1:76" x14ac:dyDescent="0.25">
      <c r="A621" s="66"/>
      <c r="D621" s="67" t="s">
        <v>971</v>
      </c>
      <c r="E621" s="67" t="s">
        <v>1186</v>
      </c>
      <c r="G621" s="68">
        <v>156</v>
      </c>
      <c r="K621" s="59"/>
    </row>
    <row r="622" spans="1:76" x14ac:dyDescent="0.25">
      <c r="A622" s="66"/>
      <c r="D622" s="67" t="s">
        <v>187</v>
      </c>
      <c r="E622" s="67" t="s">
        <v>1106</v>
      </c>
      <c r="G622" s="68">
        <v>27</v>
      </c>
      <c r="K622" s="59"/>
    </row>
    <row r="623" spans="1:76" x14ac:dyDescent="0.25">
      <c r="A623" s="1" t="s">
        <v>1187</v>
      </c>
      <c r="B623" s="2" t="s">
        <v>84</v>
      </c>
      <c r="C623" s="2" t="s">
        <v>1188</v>
      </c>
      <c r="D623" s="86" t="s">
        <v>1189</v>
      </c>
      <c r="E623" s="81"/>
      <c r="F623" s="2" t="s">
        <v>1190</v>
      </c>
      <c r="G623" s="34">
        <v>18</v>
      </c>
      <c r="H623" s="64">
        <v>0</v>
      </c>
      <c r="I623" s="34">
        <f>ROUND(G623*H623,2)</f>
        <v>0</v>
      </c>
      <c r="J623" s="65" t="s">
        <v>398</v>
      </c>
      <c r="K623" s="59"/>
      <c r="Z623" s="34">
        <f>ROUND(IF(AQ623="5",BJ623,0),2)</f>
        <v>0</v>
      </c>
      <c r="AB623" s="34">
        <f>ROUND(IF(AQ623="1",BH623,0),2)</f>
        <v>0</v>
      </c>
      <c r="AC623" s="34">
        <f>ROUND(IF(AQ623="1",BI623,0),2)</f>
        <v>0</v>
      </c>
      <c r="AD623" s="34">
        <f>ROUND(IF(AQ623="7",BH623,0),2)</f>
        <v>0</v>
      </c>
      <c r="AE623" s="34">
        <f>ROUND(IF(AQ623="7",BI623,0),2)</f>
        <v>0</v>
      </c>
      <c r="AF623" s="34">
        <f>ROUND(IF(AQ623="2",BH623,0),2)</f>
        <v>0</v>
      </c>
      <c r="AG623" s="34">
        <f>ROUND(IF(AQ623="2",BI623,0),2)</f>
        <v>0</v>
      </c>
      <c r="AH623" s="34">
        <f>ROUND(IF(AQ623="0",BJ623,0),2)</f>
        <v>0</v>
      </c>
      <c r="AI623" s="46" t="s">
        <v>84</v>
      </c>
      <c r="AJ623" s="34">
        <f>IF(AN623=0,I623,0)</f>
        <v>0</v>
      </c>
      <c r="AK623" s="34">
        <f>IF(AN623=12,I623,0)</f>
        <v>0</v>
      </c>
      <c r="AL623" s="34">
        <f>IF(AN623=21,I623,0)</f>
        <v>0</v>
      </c>
      <c r="AN623" s="34">
        <v>21</v>
      </c>
      <c r="AO623" s="34">
        <f>H623*1</f>
        <v>0</v>
      </c>
      <c r="AP623" s="34">
        <f>H623*(1-1)</f>
        <v>0</v>
      </c>
      <c r="AQ623" s="65" t="s">
        <v>175</v>
      </c>
      <c r="AV623" s="34">
        <f>ROUND(AW623+AX623,2)</f>
        <v>0</v>
      </c>
      <c r="AW623" s="34">
        <f>ROUND(G623*AO623,2)</f>
        <v>0</v>
      </c>
      <c r="AX623" s="34">
        <f>ROUND(G623*AP623,2)</f>
        <v>0</v>
      </c>
      <c r="AY623" s="65" t="s">
        <v>1184</v>
      </c>
      <c r="AZ623" s="65" t="s">
        <v>1103</v>
      </c>
      <c r="BA623" s="46" t="s">
        <v>136</v>
      </c>
      <c r="BC623" s="34">
        <f>AW623+AX623</f>
        <v>0</v>
      </c>
      <c r="BD623" s="34">
        <f>H623/(100-BE623)*100</f>
        <v>0</v>
      </c>
      <c r="BE623" s="34">
        <v>0</v>
      </c>
      <c r="BF623" s="34">
        <f>623</f>
        <v>623</v>
      </c>
      <c r="BH623" s="34">
        <f>G623*AO623</f>
        <v>0</v>
      </c>
      <c r="BI623" s="34">
        <f>G623*AP623</f>
        <v>0</v>
      </c>
      <c r="BJ623" s="34">
        <f>G623*H623</f>
        <v>0</v>
      </c>
      <c r="BK623" s="34"/>
      <c r="BL623" s="34">
        <v>764</v>
      </c>
      <c r="BW623" s="34">
        <v>21</v>
      </c>
      <c r="BX623" s="3" t="s">
        <v>1189</v>
      </c>
    </row>
    <row r="624" spans="1:76" ht="13.5" customHeight="1" x14ac:dyDescent="0.25">
      <c r="A624" s="66"/>
      <c r="C624" s="69" t="s">
        <v>204</v>
      </c>
      <c r="D624" s="169" t="s">
        <v>1191</v>
      </c>
      <c r="E624" s="170"/>
      <c r="F624" s="170"/>
      <c r="G624" s="170"/>
      <c r="H624" s="171"/>
      <c r="I624" s="170"/>
      <c r="J624" s="170"/>
      <c r="K624" s="172"/>
    </row>
    <row r="625" spans="1:76" x14ac:dyDescent="0.25">
      <c r="A625" s="66"/>
      <c r="D625" s="67" t="s">
        <v>267</v>
      </c>
      <c r="E625" s="67" t="s">
        <v>4</v>
      </c>
      <c r="G625" s="68">
        <v>18</v>
      </c>
      <c r="K625" s="59"/>
    </row>
    <row r="626" spans="1:76" x14ac:dyDescent="0.25">
      <c r="A626" s="1" t="s">
        <v>1192</v>
      </c>
      <c r="B626" s="2" t="s">
        <v>84</v>
      </c>
      <c r="C626" s="2" t="s">
        <v>1193</v>
      </c>
      <c r="D626" s="86" t="s">
        <v>1194</v>
      </c>
      <c r="E626" s="81"/>
      <c r="F626" s="2" t="s">
        <v>239</v>
      </c>
      <c r="G626" s="34">
        <v>44.6</v>
      </c>
      <c r="H626" s="64">
        <v>0</v>
      </c>
      <c r="I626" s="34">
        <f>ROUND(G626*H626,2)</f>
        <v>0</v>
      </c>
      <c r="J626" s="65" t="s">
        <v>133</v>
      </c>
      <c r="K626" s="59"/>
      <c r="Z626" s="34">
        <f>ROUND(IF(AQ626="5",BJ626,0),2)</f>
        <v>0</v>
      </c>
      <c r="AB626" s="34">
        <f>ROUND(IF(AQ626="1",BH626,0),2)</f>
        <v>0</v>
      </c>
      <c r="AC626" s="34">
        <f>ROUND(IF(AQ626="1",BI626,0),2)</f>
        <v>0</v>
      </c>
      <c r="AD626" s="34">
        <f>ROUND(IF(AQ626="7",BH626,0),2)</f>
        <v>0</v>
      </c>
      <c r="AE626" s="34">
        <f>ROUND(IF(AQ626="7",BI626,0),2)</f>
        <v>0</v>
      </c>
      <c r="AF626" s="34">
        <f>ROUND(IF(AQ626="2",BH626,0),2)</f>
        <v>0</v>
      </c>
      <c r="AG626" s="34">
        <f>ROUND(IF(AQ626="2",BI626,0),2)</f>
        <v>0</v>
      </c>
      <c r="AH626" s="34">
        <f>ROUND(IF(AQ626="0",BJ626,0),2)</f>
        <v>0</v>
      </c>
      <c r="AI626" s="46" t="s">
        <v>84</v>
      </c>
      <c r="AJ626" s="34">
        <f>IF(AN626=0,I626,0)</f>
        <v>0</v>
      </c>
      <c r="AK626" s="34">
        <f>IF(AN626=12,I626,0)</f>
        <v>0</v>
      </c>
      <c r="AL626" s="34">
        <f>IF(AN626=21,I626,0)</f>
        <v>0</v>
      </c>
      <c r="AN626" s="34">
        <v>21</v>
      </c>
      <c r="AO626" s="34">
        <f>H626*0.745229303</f>
        <v>0</v>
      </c>
      <c r="AP626" s="34">
        <f>H626*(1-0.745229303)</f>
        <v>0</v>
      </c>
      <c r="AQ626" s="65" t="s">
        <v>175</v>
      </c>
      <c r="AV626" s="34">
        <f>ROUND(AW626+AX626,2)</f>
        <v>0</v>
      </c>
      <c r="AW626" s="34">
        <f>ROUND(G626*AO626,2)</f>
        <v>0</v>
      </c>
      <c r="AX626" s="34">
        <f>ROUND(G626*AP626,2)</f>
        <v>0</v>
      </c>
      <c r="AY626" s="65" t="s">
        <v>1184</v>
      </c>
      <c r="AZ626" s="65" t="s">
        <v>1103</v>
      </c>
      <c r="BA626" s="46" t="s">
        <v>136</v>
      </c>
      <c r="BC626" s="34">
        <f>AW626+AX626</f>
        <v>0</v>
      </c>
      <c r="BD626" s="34">
        <f>H626/(100-BE626)*100</f>
        <v>0</v>
      </c>
      <c r="BE626" s="34">
        <v>0</v>
      </c>
      <c r="BF626" s="34">
        <f>626</f>
        <v>626</v>
      </c>
      <c r="BH626" s="34">
        <f>G626*AO626</f>
        <v>0</v>
      </c>
      <c r="BI626" s="34">
        <f>G626*AP626</f>
        <v>0</v>
      </c>
      <c r="BJ626" s="34">
        <f>G626*H626</f>
        <v>0</v>
      </c>
      <c r="BK626" s="34"/>
      <c r="BL626" s="34">
        <v>764</v>
      </c>
      <c r="BW626" s="34">
        <v>21</v>
      </c>
      <c r="BX626" s="3" t="s">
        <v>1194</v>
      </c>
    </row>
    <row r="627" spans="1:76" ht="13.5" customHeight="1" x14ac:dyDescent="0.25">
      <c r="A627" s="66"/>
      <c r="C627" s="69" t="s">
        <v>204</v>
      </c>
      <c r="D627" s="169" t="s">
        <v>1195</v>
      </c>
      <c r="E627" s="170"/>
      <c r="F627" s="170"/>
      <c r="G627" s="170"/>
      <c r="H627" s="171"/>
      <c r="I627" s="170"/>
      <c r="J627" s="170"/>
      <c r="K627" s="172"/>
    </row>
    <row r="628" spans="1:76" x14ac:dyDescent="0.25">
      <c r="A628" s="66"/>
      <c r="D628" s="67" t="s">
        <v>1196</v>
      </c>
      <c r="E628" s="67" t="s">
        <v>4</v>
      </c>
      <c r="G628" s="68">
        <v>44.6</v>
      </c>
      <c r="K628" s="59"/>
    </row>
    <row r="629" spans="1:76" x14ac:dyDescent="0.25">
      <c r="A629" s="1" t="s">
        <v>1197</v>
      </c>
      <c r="B629" s="2" t="s">
        <v>84</v>
      </c>
      <c r="C629" s="2" t="s">
        <v>1198</v>
      </c>
      <c r="D629" s="86" t="s">
        <v>1199</v>
      </c>
      <c r="E629" s="81"/>
      <c r="F629" s="2" t="s">
        <v>239</v>
      </c>
      <c r="G629" s="34">
        <v>20</v>
      </c>
      <c r="H629" s="64">
        <v>0</v>
      </c>
      <c r="I629" s="34">
        <f>ROUND(G629*H629,2)</f>
        <v>0</v>
      </c>
      <c r="J629" s="65" t="s">
        <v>133</v>
      </c>
      <c r="K629" s="59"/>
      <c r="Z629" s="34">
        <f>ROUND(IF(AQ629="5",BJ629,0),2)</f>
        <v>0</v>
      </c>
      <c r="AB629" s="34">
        <f>ROUND(IF(AQ629="1",BH629,0),2)</f>
        <v>0</v>
      </c>
      <c r="AC629" s="34">
        <f>ROUND(IF(AQ629="1",BI629,0),2)</f>
        <v>0</v>
      </c>
      <c r="AD629" s="34">
        <f>ROUND(IF(AQ629="7",BH629,0),2)</f>
        <v>0</v>
      </c>
      <c r="AE629" s="34">
        <f>ROUND(IF(AQ629="7",BI629,0),2)</f>
        <v>0</v>
      </c>
      <c r="AF629" s="34">
        <f>ROUND(IF(AQ629="2",BH629,0),2)</f>
        <v>0</v>
      </c>
      <c r="AG629" s="34">
        <f>ROUND(IF(AQ629="2",BI629,0),2)</f>
        <v>0</v>
      </c>
      <c r="AH629" s="34">
        <f>ROUND(IF(AQ629="0",BJ629,0),2)</f>
        <v>0</v>
      </c>
      <c r="AI629" s="46" t="s">
        <v>84</v>
      </c>
      <c r="AJ629" s="34">
        <f>IF(AN629=0,I629,0)</f>
        <v>0</v>
      </c>
      <c r="AK629" s="34">
        <f>IF(AN629=12,I629,0)</f>
        <v>0</v>
      </c>
      <c r="AL629" s="34">
        <f>IF(AN629=21,I629,0)</f>
        <v>0</v>
      </c>
      <c r="AN629" s="34">
        <v>21</v>
      </c>
      <c r="AO629" s="34">
        <f>H629*0.759171817</f>
        <v>0</v>
      </c>
      <c r="AP629" s="34">
        <f>H629*(1-0.759171817)</f>
        <v>0</v>
      </c>
      <c r="AQ629" s="65" t="s">
        <v>175</v>
      </c>
      <c r="AV629" s="34">
        <f>ROUND(AW629+AX629,2)</f>
        <v>0</v>
      </c>
      <c r="AW629" s="34">
        <f>ROUND(G629*AO629,2)</f>
        <v>0</v>
      </c>
      <c r="AX629" s="34">
        <f>ROUND(G629*AP629,2)</f>
        <v>0</v>
      </c>
      <c r="AY629" s="65" t="s">
        <v>1184</v>
      </c>
      <c r="AZ629" s="65" t="s">
        <v>1103</v>
      </c>
      <c r="BA629" s="46" t="s">
        <v>136</v>
      </c>
      <c r="BC629" s="34">
        <f>AW629+AX629</f>
        <v>0</v>
      </c>
      <c r="BD629" s="34">
        <f>H629/(100-BE629)*100</f>
        <v>0</v>
      </c>
      <c r="BE629" s="34">
        <v>0</v>
      </c>
      <c r="BF629" s="34">
        <f>629</f>
        <v>629</v>
      </c>
      <c r="BH629" s="34">
        <f>G629*AO629</f>
        <v>0</v>
      </c>
      <c r="BI629" s="34">
        <f>G629*AP629</f>
        <v>0</v>
      </c>
      <c r="BJ629" s="34">
        <f>G629*H629</f>
        <v>0</v>
      </c>
      <c r="BK629" s="34"/>
      <c r="BL629" s="34">
        <v>764</v>
      </c>
      <c r="BW629" s="34">
        <v>21</v>
      </c>
      <c r="BX629" s="3" t="s">
        <v>1199</v>
      </c>
    </row>
    <row r="630" spans="1:76" ht="13.5" customHeight="1" x14ac:dyDescent="0.25">
      <c r="A630" s="66"/>
      <c r="C630" s="69" t="s">
        <v>204</v>
      </c>
      <c r="D630" s="169" t="s">
        <v>1200</v>
      </c>
      <c r="E630" s="170"/>
      <c r="F630" s="170"/>
      <c r="G630" s="170"/>
      <c r="H630" s="171"/>
      <c r="I630" s="170"/>
      <c r="J630" s="170"/>
      <c r="K630" s="172"/>
    </row>
    <row r="631" spans="1:76" x14ac:dyDescent="0.25">
      <c r="A631" s="66"/>
      <c r="D631" s="67" t="s">
        <v>273</v>
      </c>
      <c r="E631" s="67" t="s">
        <v>4</v>
      </c>
      <c r="G631" s="68">
        <v>20</v>
      </c>
      <c r="K631" s="59"/>
    </row>
    <row r="632" spans="1:76" x14ac:dyDescent="0.25">
      <c r="A632" s="1" t="s">
        <v>1201</v>
      </c>
      <c r="B632" s="2" t="s">
        <v>84</v>
      </c>
      <c r="C632" s="2" t="s">
        <v>1202</v>
      </c>
      <c r="D632" s="86" t="s">
        <v>1203</v>
      </c>
      <c r="E632" s="81"/>
      <c r="F632" s="2" t="s">
        <v>239</v>
      </c>
      <c r="G632" s="34">
        <v>6.9</v>
      </c>
      <c r="H632" s="64">
        <v>0</v>
      </c>
      <c r="I632" s="34">
        <f>ROUND(G632*H632,2)</f>
        <v>0</v>
      </c>
      <c r="J632" s="65" t="s">
        <v>133</v>
      </c>
      <c r="K632" s="59"/>
      <c r="Z632" s="34">
        <f>ROUND(IF(AQ632="5",BJ632,0),2)</f>
        <v>0</v>
      </c>
      <c r="AB632" s="34">
        <f>ROUND(IF(AQ632="1",BH632,0),2)</f>
        <v>0</v>
      </c>
      <c r="AC632" s="34">
        <f>ROUND(IF(AQ632="1",BI632,0),2)</f>
        <v>0</v>
      </c>
      <c r="AD632" s="34">
        <f>ROUND(IF(AQ632="7",BH632,0),2)</f>
        <v>0</v>
      </c>
      <c r="AE632" s="34">
        <f>ROUND(IF(AQ632="7",BI632,0),2)</f>
        <v>0</v>
      </c>
      <c r="AF632" s="34">
        <f>ROUND(IF(AQ632="2",BH632,0),2)</f>
        <v>0</v>
      </c>
      <c r="AG632" s="34">
        <f>ROUND(IF(AQ632="2",BI632,0),2)</f>
        <v>0</v>
      </c>
      <c r="AH632" s="34">
        <f>ROUND(IF(AQ632="0",BJ632,0),2)</f>
        <v>0</v>
      </c>
      <c r="AI632" s="46" t="s">
        <v>84</v>
      </c>
      <c r="AJ632" s="34">
        <f>IF(AN632=0,I632,0)</f>
        <v>0</v>
      </c>
      <c r="AK632" s="34">
        <f>IF(AN632=12,I632,0)</f>
        <v>0</v>
      </c>
      <c r="AL632" s="34">
        <f>IF(AN632=21,I632,0)</f>
        <v>0</v>
      </c>
      <c r="AN632" s="34">
        <v>21</v>
      </c>
      <c r="AO632" s="34">
        <f>H632*0.48387821</f>
        <v>0</v>
      </c>
      <c r="AP632" s="34">
        <f>H632*(1-0.48387821)</f>
        <v>0</v>
      </c>
      <c r="AQ632" s="65" t="s">
        <v>175</v>
      </c>
      <c r="AV632" s="34">
        <f>ROUND(AW632+AX632,2)</f>
        <v>0</v>
      </c>
      <c r="AW632" s="34">
        <f>ROUND(G632*AO632,2)</f>
        <v>0</v>
      </c>
      <c r="AX632" s="34">
        <f>ROUND(G632*AP632,2)</f>
        <v>0</v>
      </c>
      <c r="AY632" s="65" t="s">
        <v>1184</v>
      </c>
      <c r="AZ632" s="65" t="s">
        <v>1103</v>
      </c>
      <c r="BA632" s="46" t="s">
        <v>136</v>
      </c>
      <c r="BC632" s="34">
        <f>AW632+AX632</f>
        <v>0</v>
      </c>
      <c r="BD632" s="34">
        <f>H632/(100-BE632)*100</f>
        <v>0</v>
      </c>
      <c r="BE632" s="34">
        <v>0</v>
      </c>
      <c r="BF632" s="34">
        <f>632</f>
        <v>632</v>
      </c>
      <c r="BH632" s="34">
        <f>G632*AO632</f>
        <v>0</v>
      </c>
      <c r="BI632" s="34">
        <f>G632*AP632</f>
        <v>0</v>
      </c>
      <c r="BJ632" s="34">
        <f>G632*H632</f>
        <v>0</v>
      </c>
      <c r="BK632" s="34"/>
      <c r="BL632" s="34">
        <v>764</v>
      </c>
      <c r="BW632" s="34">
        <v>21</v>
      </c>
      <c r="BX632" s="3" t="s">
        <v>1203</v>
      </c>
    </row>
    <row r="633" spans="1:76" ht="13.5" customHeight="1" x14ac:dyDescent="0.25">
      <c r="A633" s="66"/>
      <c r="C633" s="69" t="s">
        <v>204</v>
      </c>
      <c r="D633" s="169" t="s">
        <v>1204</v>
      </c>
      <c r="E633" s="170"/>
      <c r="F633" s="170"/>
      <c r="G633" s="170"/>
      <c r="H633" s="171"/>
      <c r="I633" s="170"/>
      <c r="J633" s="170"/>
      <c r="K633" s="172"/>
    </row>
    <row r="634" spans="1:76" x14ac:dyDescent="0.25">
      <c r="A634" s="66"/>
      <c r="D634" s="67" t="s">
        <v>1205</v>
      </c>
      <c r="E634" s="67" t="s">
        <v>1206</v>
      </c>
      <c r="G634" s="68">
        <v>6.9</v>
      </c>
      <c r="K634" s="59"/>
    </row>
    <row r="635" spans="1:76" x14ac:dyDescent="0.25">
      <c r="A635" s="66"/>
      <c r="D635" s="67" t="s">
        <v>1207</v>
      </c>
      <c r="E635" s="67" t="s">
        <v>4</v>
      </c>
      <c r="G635" s="68">
        <v>0</v>
      </c>
      <c r="K635" s="59"/>
    </row>
    <row r="636" spans="1:76" x14ac:dyDescent="0.25">
      <c r="A636" s="1" t="s">
        <v>1208</v>
      </c>
      <c r="B636" s="2" t="s">
        <v>84</v>
      </c>
      <c r="C636" s="2" t="s">
        <v>1209</v>
      </c>
      <c r="D636" s="86" t="s">
        <v>1210</v>
      </c>
      <c r="E636" s="81"/>
      <c r="F636" s="2" t="s">
        <v>239</v>
      </c>
      <c r="G636" s="34">
        <v>0.75</v>
      </c>
      <c r="H636" s="64">
        <v>0</v>
      </c>
      <c r="I636" s="34">
        <f>ROUND(G636*H636,2)</f>
        <v>0</v>
      </c>
      <c r="J636" s="65" t="s">
        <v>133</v>
      </c>
      <c r="K636" s="59"/>
      <c r="Z636" s="34">
        <f>ROUND(IF(AQ636="5",BJ636,0),2)</f>
        <v>0</v>
      </c>
      <c r="AB636" s="34">
        <f>ROUND(IF(AQ636="1",BH636,0),2)</f>
        <v>0</v>
      </c>
      <c r="AC636" s="34">
        <f>ROUND(IF(AQ636="1",BI636,0),2)</f>
        <v>0</v>
      </c>
      <c r="AD636" s="34">
        <f>ROUND(IF(AQ636="7",BH636,0),2)</f>
        <v>0</v>
      </c>
      <c r="AE636" s="34">
        <f>ROUND(IF(AQ636="7",BI636,0),2)</f>
        <v>0</v>
      </c>
      <c r="AF636" s="34">
        <f>ROUND(IF(AQ636="2",BH636,0),2)</f>
        <v>0</v>
      </c>
      <c r="AG636" s="34">
        <f>ROUND(IF(AQ636="2",BI636,0),2)</f>
        <v>0</v>
      </c>
      <c r="AH636" s="34">
        <f>ROUND(IF(AQ636="0",BJ636,0),2)</f>
        <v>0</v>
      </c>
      <c r="AI636" s="46" t="s">
        <v>84</v>
      </c>
      <c r="AJ636" s="34">
        <f>IF(AN636=0,I636,0)</f>
        <v>0</v>
      </c>
      <c r="AK636" s="34">
        <f>IF(AN636=12,I636,0)</f>
        <v>0</v>
      </c>
      <c r="AL636" s="34">
        <f>IF(AN636=21,I636,0)</f>
        <v>0</v>
      </c>
      <c r="AN636" s="34">
        <v>21</v>
      </c>
      <c r="AO636" s="34">
        <f>H636*0.500954955</f>
        <v>0</v>
      </c>
      <c r="AP636" s="34">
        <f>H636*(1-0.500954955)</f>
        <v>0</v>
      </c>
      <c r="AQ636" s="65" t="s">
        <v>175</v>
      </c>
      <c r="AV636" s="34">
        <f>ROUND(AW636+AX636,2)</f>
        <v>0</v>
      </c>
      <c r="AW636" s="34">
        <f>ROUND(G636*AO636,2)</f>
        <v>0</v>
      </c>
      <c r="AX636" s="34">
        <f>ROUND(G636*AP636,2)</f>
        <v>0</v>
      </c>
      <c r="AY636" s="65" t="s">
        <v>1184</v>
      </c>
      <c r="AZ636" s="65" t="s">
        <v>1103</v>
      </c>
      <c r="BA636" s="46" t="s">
        <v>136</v>
      </c>
      <c r="BC636" s="34">
        <f>AW636+AX636</f>
        <v>0</v>
      </c>
      <c r="BD636" s="34">
        <f>H636/(100-BE636)*100</f>
        <v>0</v>
      </c>
      <c r="BE636" s="34">
        <v>0</v>
      </c>
      <c r="BF636" s="34">
        <f>636</f>
        <v>636</v>
      </c>
      <c r="BH636" s="34">
        <f>G636*AO636</f>
        <v>0</v>
      </c>
      <c r="BI636" s="34">
        <f>G636*AP636</f>
        <v>0</v>
      </c>
      <c r="BJ636" s="34">
        <f>G636*H636</f>
        <v>0</v>
      </c>
      <c r="BK636" s="34"/>
      <c r="BL636" s="34">
        <v>764</v>
      </c>
      <c r="BW636" s="34">
        <v>21</v>
      </c>
      <c r="BX636" s="3" t="s">
        <v>1210</v>
      </c>
    </row>
    <row r="637" spans="1:76" x14ac:dyDescent="0.25">
      <c r="A637" s="66"/>
      <c r="D637" s="67" t="s">
        <v>1211</v>
      </c>
      <c r="E637" s="67" t="s">
        <v>1212</v>
      </c>
      <c r="G637" s="68">
        <v>0.75</v>
      </c>
      <c r="K637" s="59"/>
    </row>
    <row r="638" spans="1:76" x14ac:dyDescent="0.25">
      <c r="A638" s="1" t="s">
        <v>1213</v>
      </c>
      <c r="B638" s="2" t="s">
        <v>84</v>
      </c>
      <c r="C638" s="2" t="s">
        <v>1214</v>
      </c>
      <c r="D638" s="86" t="s">
        <v>1215</v>
      </c>
      <c r="E638" s="81"/>
      <c r="F638" s="2" t="s">
        <v>239</v>
      </c>
      <c r="G638" s="34">
        <v>6.9</v>
      </c>
      <c r="H638" s="64">
        <v>0</v>
      </c>
      <c r="I638" s="34">
        <f>ROUND(G638*H638,2)</f>
        <v>0</v>
      </c>
      <c r="J638" s="65" t="s">
        <v>133</v>
      </c>
      <c r="K638" s="59"/>
      <c r="Z638" s="34">
        <f>ROUND(IF(AQ638="5",BJ638,0),2)</f>
        <v>0</v>
      </c>
      <c r="AB638" s="34">
        <f>ROUND(IF(AQ638="1",BH638,0),2)</f>
        <v>0</v>
      </c>
      <c r="AC638" s="34">
        <f>ROUND(IF(AQ638="1",BI638,0),2)</f>
        <v>0</v>
      </c>
      <c r="AD638" s="34">
        <f>ROUND(IF(AQ638="7",BH638,0),2)</f>
        <v>0</v>
      </c>
      <c r="AE638" s="34">
        <f>ROUND(IF(AQ638="7",BI638,0),2)</f>
        <v>0</v>
      </c>
      <c r="AF638" s="34">
        <f>ROUND(IF(AQ638="2",BH638,0),2)</f>
        <v>0</v>
      </c>
      <c r="AG638" s="34">
        <f>ROUND(IF(AQ638="2",BI638,0),2)</f>
        <v>0</v>
      </c>
      <c r="AH638" s="34">
        <f>ROUND(IF(AQ638="0",BJ638,0),2)</f>
        <v>0</v>
      </c>
      <c r="AI638" s="46" t="s">
        <v>84</v>
      </c>
      <c r="AJ638" s="34">
        <f>IF(AN638=0,I638,0)</f>
        <v>0</v>
      </c>
      <c r="AK638" s="34">
        <f>IF(AN638=12,I638,0)</f>
        <v>0</v>
      </c>
      <c r="AL638" s="34">
        <f>IF(AN638=21,I638,0)</f>
        <v>0</v>
      </c>
      <c r="AN638" s="34">
        <v>21</v>
      </c>
      <c r="AO638" s="34">
        <f>H638*0.603768116</f>
        <v>0</v>
      </c>
      <c r="AP638" s="34">
        <f>H638*(1-0.603768116)</f>
        <v>0</v>
      </c>
      <c r="AQ638" s="65" t="s">
        <v>175</v>
      </c>
      <c r="AV638" s="34">
        <f>ROUND(AW638+AX638,2)</f>
        <v>0</v>
      </c>
      <c r="AW638" s="34">
        <f>ROUND(G638*AO638,2)</f>
        <v>0</v>
      </c>
      <c r="AX638" s="34">
        <f>ROUND(G638*AP638,2)</f>
        <v>0</v>
      </c>
      <c r="AY638" s="65" t="s">
        <v>1184</v>
      </c>
      <c r="AZ638" s="65" t="s">
        <v>1103</v>
      </c>
      <c r="BA638" s="46" t="s">
        <v>136</v>
      </c>
      <c r="BC638" s="34">
        <f>AW638+AX638</f>
        <v>0</v>
      </c>
      <c r="BD638" s="34">
        <f>H638/(100-BE638)*100</f>
        <v>0</v>
      </c>
      <c r="BE638" s="34">
        <v>0</v>
      </c>
      <c r="BF638" s="34">
        <f>638</f>
        <v>638</v>
      </c>
      <c r="BH638" s="34">
        <f>G638*AO638</f>
        <v>0</v>
      </c>
      <c r="BI638" s="34">
        <f>G638*AP638</f>
        <v>0</v>
      </c>
      <c r="BJ638" s="34">
        <f>G638*H638</f>
        <v>0</v>
      </c>
      <c r="BK638" s="34"/>
      <c r="BL638" s="34">
        <v>764</v>
      </c>
      <c r="BW638" s="34">
        <v>21</v>
      </c>
      <c r="BX638" s="3" t="s">
        <v>1215</v>
      </c>
    </row>
    <row r="639" spans="1:76" x14ac:dyDescent="0.25">
      <c r="A639" s="66"/>
      <c r="D639" s="67" t="s">
        <v>1216</v>
      </c>
      <c r="E639" s="67" t="s">
        <v>4</v>
      </c>
      <c r="G639" s="68">
        <v>6.9</v>
      </c>
      <c r="K639" s="59"/>
    </row>
    <row r="640" spans="1:76" x14ac:dyDescent="0.25">
      <c r="A640" s="1" t="s">
        <v>1217</v>
      </c>
      <c r="B640" s="2" t="s">
        <v>84</v>
      </c>
      <c r="C640" s="2" t="s">
        <v>1218</v>
      </c>
      <c r="D640" s="86" t="s">
        <v>1219</v>
      </c>
      <c r="E640" s="81"/>
      <c r="F640" s="2" t="s">
        <v>239</v>
      </c>
      <c r="G640" s="34">
        <v>10.5</v>
      </c>
      <c r="H640" s="64">
        <v>0</v>
      </c>
      <c r="I640" s="34">
        <f>ROUND(G640*H640,2)</f>
        <v>0</v>
      </c>
      <c r="J640" s="65" t="s">
        <v>133</v>
      </c>
      <c r="K640" s="59"/>
      <c r="Z640" s="34">
        <f>ROUND(IF(AQ640="5",BJ640,0),2)</f>
        <v>0</v>
      </c>
      <c r="AB640" s="34">
        <f>ROUND(IF(AQ640="1",BH640,0),2)</f>
        <v>0</v>
      </c>
      <c r="AC640" s="34">
        <f>ROUND(IF(AQ640="1",BI640,0),2)</f>
        <v>0</v>
      </c>
      <c r="AD640" s="34">
        <f>ROUND(IF(AQ640="7",BH640,0),2)</f>
        <v>0</v>
      </c>
      <c r="AE640" s="34">
        <f>ROUND(IF(AQ640="7",BI640,0),2)</f>
        <v>0</v>
      </c>
      <c r="AF640" s="34">
        <f>ROUND(IF(AQ640="2",BH640,0),2)</f>
        <v>0</v>
      </c>
      <c r="AG640" s="34">
        <f>ROUND(IF(AQ640="2",BI640,0),2)</f>
        <v>0</v>
      </c>
      <c r="AH640" s="34">
        <f>ROUND(IF(AQ640="0",BJ640,0),2)</f>
        <v>0</v>
      </c>
      <c r="AI640" s="46" t="s">
        <v>84</v>
      </c>
      <c r="AJ640" s="34">
        <f>IF(AN640=0,I640,0)</f>
        <v>0</v>
      </c>
      <c r="AK640" s="34">
        <f>IF(AN640=12,I640,0)</f>
        <v>0</v>
      </c>
      <c r="AL640" s="34">
        <f>IF(AN640=21,I640,0)</f>
        <v>0</v>
      </c>
      <c r="AN640" s="34">
        <v>21</v>
      </c>
      <c r="AO640" s="34">
        <f>H640*0.623765935</f>
        <v>0</v>
      </c>
      <c r="AP640" s="34">
        <f>H640*(1-0.623765935)</f>
        <v>0</v>
      </c>
      <c r="AQ640" s="65" t="s">
        <v>175</v>
      </c>
      <c r="AV640" s="34">
        <f>ROUND(AW640+AX640,2)</f>
        <v>0</v>
      </c>
      <c r="AW640" s="34">
        <f>ROUND(G640*AO640,2)</f>
        <v>0</v>
      </c>
      <c r="AX640" s="34">
        <f>ROUND(G640*AP640,2)</f>
        <v>0</v>
      </c>
      <c r="AY640" s="65" t="s">
        <v>1184</v>
      </c>
      <c r="AZ640" s="65" t="s">
        <v>1103</v>
      </c>
      <c r="BA640" s="46" t="s">
        <v>136</v>
      </c>
      <c r="BC640" s="34">
        <f>AW640+AX640</f>
        <v>0</v>
      </c>
      <c r="BD640" s="34">
        <f>H640/(100-BE640)*100</f>
        <v>0</v>
      </c>
      <c r="BE640" s="34">
        <v>0</v>
      </c>
      <c r="BF640" s="34">
        <f>640</f>
        <v>640</v>
      </c>
      <c r="BH640" s="34">
        <f>G640*AO640</f>
        <v>0</v>
      </c>
      <c r="BI640" s="34">
        <f>G640*AP640</f>
        <v>0</v>
      </c>
      <c r="BJ640" s="34">
        <f>G640*H640</f>
        <v>0</v>
      </c>
      <c r="BK640" s="34"/>
      <c r="BL640" s="34">
        <v>764</v>
      </c>
      <c r="BW640" s="34">
        <v>21</v>
      </c>
      <c r="BX640" s="3" t="s">
        <v>1219</v>
      </c>
    </row>
    <row r="641" spans="1:76" ht="13.5" customHeight="1" x14ac:dyDescent="0.25">
      <c r="A641" s="66"/>
      <c r="C641" s="69" t="s">
        <v>204</v>
      </c>
      <c r="D641" s="169" t="s">
        <v>1220</v>
      </c>
      <c r="E641" s="170"/>
      <c r="F641" s="170"/>
      <c r="G641" s="170"/>
      <c r="H641" s="171"/>
      <c r="I641" s="170"/>
      <c r="J641" s="170"/>
      <c r="K641" s="172"/>
    </row>
    <row r="642" spans="1:76" x14ac:dyDescent="0.25">
      <c r="A642" s="66"/>
      <c r="D642" s="67" t="s">
        <v>1221</v>
      </c>
      <c r="E642" s="67" t="s">
        <v>4</v>
      </c>
      <c r="G642" s="68">
        <v>10.5</v>
      </c>
      <c r="K642" s="59"/>
    </row>
    <row r="643" spans="1:76" x14ac:dyDescent="0.25">
      <c r="A643" s="1" t="s">
        <v>1222</v>
      </c>
      <c r="B643" s="2" t="s">
        <v>84</v>
      </c>
      <c r="C643" s="2" t="s">
        <v>1223</v>
      </c>
      <c r="D643" s="86" t="s">
        <v>1224</v>
      </c>
      <c r="E643" s="81"/>
      <c r="F643" s="2" t="s">
        <v>239</v>
      </c>
      <c r="G643" s="34">
        <v>10.75</v>
      </c>
      <c r="H643" s="64">
        <v>0</v>
      </c>
      <c r="I643" s="34">
        <f>ROUND(G643*H643,2)</f>
        <v>0</v>
      </c>
      <c r="J643" s="65" t="s">
        <v>133</v>
      </c>
      <c r="K643" s="59"/>
      <c r="Z643" s="34">
        <f>ROUND(IF(AQ643="5",BJ643,0),2)</f>
        <v>0</v>
      </c>
      <c r="AB643" s="34">
        <f>ROUND(IF(AQ643="1",BH643,0),2)</f>
        <v>0</v>
      </c>
      <c r="AC643" s="34">
        <f>ROUND(IF(AQ643="1",BI643,0),2)</f>
        <v>0</v>
      </c>
      <c r="AD643" s="34">
        <f>ROUND(IF(AQ643="7",BH643,0),2)</f>
        <v>0</v>
      </c>
      <c r="AE643" s="34">
        <f>ROUND(IF(AQ643="7",BI643,0),2)</f>
        <v>0</v>
      </c>
      <c r="AF643" s="34">
        <f>ROUND(IF(AQ643="2",BH643,0),2)</f>
        <v>0</v>
      </c>
      <c r="AG643" s="34">
        <f>ROUND(IF(AQ643="2",BI643,0),2)</f>
        <v>0</v>
      </c>
      <c r="AH643" s="34">
        <f>ROUND(IF(AQ643="0",BJ643,0),2)</f>
        <v>0</v>
      </c>
      <c r="AI643" s="46" t="s">
        <v>84</v>
      </c>
      <c r="AJ643" s="34">
        <f>IF(AN643=0,I643,0)</f>
        <v>0</v>
      </c>
      <c r="AK643" s="34">
        <f>IF(AN643=12,I643,0)</f>
        <v>0</v>
      </c>
      <c r="AL643" s="34">
        <f>IF(AN643=21,I643,0)</f>
        <v>0</v>
      </c>
      <c r="AN643" s="34">
        <v>21</v>
      </c>
      <c r="AO643" s="34">
        <f>H643*0.281632054</f>
        <v>0</v>
      </c>
      <c r="AP643" s="34">
        <f>H643*(1-0.281632054)</f>
        <v>0</v>
      </c>
      <c r="AQ643" s="65" t="s">
        <v>175</v>
      </c>
      <c r="AV643" s="34">
        <f>ROUND(AW643+AX643,2)</f>
        <v>0</v>
      </c>
      <c r="AW643" s="34">
        <f>ROUND(G643*AO643,2)</f>
        <v>0</v>
      </c>
      <c r="AX643" s="34">
        <f>ROUND(G643*AP643,2)</f>
        <v>0</v>
      </c>
      <c r="AY643" s="65" t="s">
        <v>1184</v>
      </c>
      <c r="AZ643" s="65" t="s">
        <v>1103</v>
      </c>
      <c r="BA643" s="46" t="s">
        <v>136</v>
      </c>
      <c r="BC643" s="34">
        <f>AW643+AX643</f>
        <v>0</v>
      </c>
      <c r="BD643" s="34">
        <f>H643/(100-BE643)*100</f>
        <v>0</v>
      </c>
      <c r="BE643" s="34">
        <v>0</v>
      </c>
      <c r="BF643" s="34">
        <f>643</f>
        <v>643</v>
      </c>
      <c r="BH643" s="34">
        <f>G643*AO643</f>
        <v>0</v>
      </c>
      <c r="BI643" s="34">
        <f>G643*AP643</f>
        <v>0</v>
      </c>
      <c r="BJ643" s="34">
        <f>G643*H643</f>
        <v>0</v>
      </c>
      <c r="BK643" s="34"/>
      <c r="BL643" s="34">
        <v>764</v>
      </c>
      <c r="BW643" s="34">
        <v>21</v>
      </c>
      <c r="BX643" s="3" t="s">
        <v>1224</v>
      </c>
    </row>
    <row r="644" spans="1:76" ht="13.5" customHeight="1" x14ac:dyDescent="0.25">
      <c r="A644" s="66"/>
      <c r="C644" s="69" t="s">
        <v>204</v>
      </c>
      <c r="D644" s="169" t="s">
        <v>1225</v>
      </c>
      <c r="E644" s="170"/>
      <c r="F644" s="170"/>
      <c r="G644" s="170"/>
      <c r="H644" s="171"/>
      <c r="I644" s="170"/>
      <c r="J644" s="170"/>
      <c r="K644" s="172"/>
    </row>
    <row r="645" spans="1:76" x14ac:dyDescent="0.25">
      <c r="A645" s="66"/>
      <c r="D645" s="67" t="s">
        <v>1226</v>
      </c>
      <c r="E645" s="67" t="s">
        <v>1227</v>
      </c>
      <c r="G645" s="68">
        <v>10.75</v>
      </c>
      <c r="K645" s="59"/>
    </row>
    <row r="646" spans="1:76" x14ac:dyDescent="0.25">
      <c r="A646" s="1" t="s">
        <v>1228</v>
      </c>
      <c r="B646" s="2" t="s">
        <v>84</v>
      </c>
      <c r="C646" s="2" t="s">
        <v>1229</v>
      </c>
      <c r="D646" s="86" t="s">
        <v>1230</v>
      </c>
      <c r="E646" s="81"/>
      <c r="F646" s="2" t="s">
        <v>239</v>
      </c>
      <c r="G646" s="34">
        <v>9.65</v>
      </c>
      <c r="H646" s="64">
        <v>0</v>
      </c>
      <c r="I646" s="34">
        <f>ROUND(G646*H646,2)</f>
        <v>0</v>
      </c>
      <c r="J646" s="65" t="s">
        <v>133</v>
      </c>
      <c r="K646" s="59"/>
      <c r="Z646" s="34">
        <f>ROUND(IF(AQ646="5",BJ646,0),2)</f>
        <v>0</v>
      </c>
      <c r="AB646" s="34">
        <f>ROUND(IF(AQ646="1",BH646,0),2)</f>
        <v>0</v>
      </c>
      <c r="AC646" s="34">
        <f>ROUND(IF(AQ646="1",BI646,0),2)</f>
        <v>0</v>
      </c>
      <c r="AD646" s="34">
        <f>ROUND(IF(AQ646="7",BH646,0),2)</f>
        <v>0</v>
      </c>
      <c r="AE646" s="34">
        <f>ROUND(IF(AQ646="7",BI646,0),2)</f>
        <v>0</v>
      </c>
      <c r="AF646" s="34">
        <f>ROUND(IF(AQ646="2",BH646,0),2)</f>
        <v>0</v>
      </c>
      <c r="AG646" s="34">
        <f>ROUND(IF(AQ646="2",BI646,0),2)</f>
        <v>0</v>
      </c>
      <c r="AH646" s="34">
        <f>ROUND(IF(AQ646="0",BJ646,0),2)</f>
        <v>0</v>
      </c>
      <c r="AI646" s="46" t="s">
        <v>84</v>
      </c>
      <c r="AJ646" s="34">
        <f>IF(AN646=0,I646,0)</f>
        <v>0</v>
      </c>
      <c r="AK646" s="34">
        <f>IF(AN646=12,I646,0)</f>
        <v>0</v>
      </c>
      <c r="AL646" s="34">
        <f>IF(AN646=21,I646,0)</f>
        <v>0</v>
      </c>
      <c r="AN646" s="34">
        <v>21</v>
      </c>
      <c r="AO646" s="34">
        <f>H646*0.363118556</f>
        <v>0</v>
      </c>
      <c r="AP646" s="34">
        <f>H646*(1-0.363118556)</f>
        <v>0</v>
      </c>
      <c r="AQ646" s="65" t="s">
        <v>175</v>
      </c>
      <c r="AV646" s="34">
        <f>ROUND(AW646+AX646,2)</f>
        <v>0</v>
      </c>
      <c r="AW646" s="34">
        <f>ROUND(G646*AO646,2)</f>
        <v>0</v>
      </c>
      <c r="AX646" s="34">
        <f>ROUND(G646*AP646,2)</f>
        <v>0</v>
      </c>
      <c r="AY646" s="65" t="s">
        <v>1184</v>
      </c>
      <c r="AZ646" s="65" t="s">
        <v>1103</v>
      </c>
      <c r="BA646" s="46" t="s">
        <v>136</v>
      </c>
      <c r="BC646" s="34">
        <f>AW646+AX646</f>
        <v>0</v>
      </c>
      <c r="BD646" s="34">
        <f>H646/(100-BE646)*100</f>
        <v>0</v>
      </c>
      <c r="BE646" s="34">
        <v>0</v>
      </c>
      <c r="BF646" s="34">
        <f>646</f>
        <v>646</v>
      </c>
      <c r="BH646" s="34">
        <f>G646*AO646</f>
        <v>0</v>
      </c>
      <c r="BI646" s="34">
        <f>G646*AP646</f>
        <v>0</v>
      </c>
      <c r="BJ646" s="34">
        <f>G646*H646</f>
        <v>0</v>
      </c>
      <c r="BK646" s="34"/>
      <c r="BL646" s="34">
        <v>764</v>
      </c>
      <c r="BW646" s="34">
        <v>21</v>
      </c>
      <c r="BX646" s="3" t="s">
        <v>1230</v>
      </c>
    </row>
    <row r="647" spans="1:76" ht="13.5" customHeight="1" x14ac:dyDescent="0.25">
      <c r="A647" s="66"/>
      <c r="C647" s="69" t="s">
        <v>204</v>
      </c>
      <c r="D647" s="169" t="s">
        <v>1231</v>
      </c>
      <c r="E647" s="170"/>
      <c r="F647" s="170"/>
      <c r="G647" s="170"/>
      <c r="H647" s="171"/>
      <c r="I647" s="170"/>
      <c r="J647" s="170"/>
      <c r="K647" s="172"/>
    </row>
    <row r="648" spans="1:76" x14ac:dyDescent="0.25">
      <c r="A648" s="66"/>
      <c r="D648" s="67" t="s">
        <v>1232</v>
      </c>
      <c r="E648" s="67" t="s">
        <v>1233</v>
      </c>
      <c r="G648" s="68">
        <v>9.65</v>
      </c>
      <c r="K648" s="59"/>
    </row>
    <row r="649" spans="1:76" x14ac:dyDescent="0.25">
      <c r="A649" s="1" t="s">
        <v>1234</v>
      </c>
      <c r="B649" s="2" t="s">
        <v>84</v>
      </c>
      <c r="C649" s="2" t="s">
        <v>1235</v>
      </c>
      <c r="D649" s="86" t="s">
        <v>1236</v>
      </c>
      <c r="E649" s="81"/>
      <c r="F649" s="2" t="s">
        <v>239</v>
      </c>
      <c r="G649" s="34">
        <v>14.65</v>
      </c>
      <c r="H649" s="64">
        <v>0</v>
      </c>
      <c r="I649" s="34">
        <f>ROUND(G649*H649,2)</f>
        <v>0</v>
      </c>
      <c r="J649" s="65" t="s">
        <v>133</v>
      </c>
      <c r="K649" s="59"/>
      <c r="Z649" s="34">
        <f>ROUND(IF(AQ649="5",BJ649,0),2)</f>
        <v>0</v>
      </c>
      <c r="AB649" s="34">
        <f>ROUND(IF(AQ649="1",BH649,0),2)</f>
        <v>0</v>
      </c>
      <c r="AC649" s="34">
        <f>ROUND(IF(AQ649="1",BI649,0),2)</f>
        <v>0</v>
      </c>
      <c r="AD649" s="34">
        <f>ROUND(IF(AQ649="7",BH649,0),2)</f>
        <v>0</v>
      </c>
      <c r="AE649" s="34">
        <f>ROUND(IF(AQ649="7",BI649,0),2)</f>
        <v>0</v>
      </c>
      <c r="AF649" s="34">
        <f>ROUND(IF(AQ649="2",BH649,0),2)</f>
        <v>0</v>
      </c>
      <c r="AG649" s="34">
        <f>ROUND(IF(AQ649="2",BI649,0),2)</f>
        <v>0</v>
      </c>
      <c r="AH649" s="34">
        <f>ROUND(IF(AQ649="0",BJ649,0),2)</f>
        <v>0</v>
      </c>
      <c r="AI649" s="46" t="s">
        <v>84</v>
      </c>
      <c r="AJ649" s="34">
        <f>IF(AN649=0,I649,0)</f>
        <v>0</v>
      </c>
      <c r="AK649" s="34">
        <f>IF(AN649=12,I649,0)</f>
        <v>0</v>
      </c>
      <c r="AL649" s="34">
        <f>IF(AN649=21,I649,0)</f>
        <v>0</v>
      </c>
      <c r="AN649" s="34">
        <v>21</v>
      </c>
      <c r="AO649" s="34">
        <f>H649*0.267385038</f>
        <v>0</v>
      </c>
      <c r="AP649" s="34">
        <f>H649*(1-0.267385038)</f>
        <v>0</v>
      </c>
      <c r="AQ649" s="65" t="s">
        <v>175</v>
      </c>
      <c r="AV649" s="34">
        <f>ROUND(AW649+AX649,2)</f>
        <v>0</v>
      </c>
      <c r="AW649" s="34">
        <f>ROUND(G649*AO649,2)</f>
        <v>0</v>
      </c>
      <c r="AX649" s="34">
        <f>ROUND(G649*AP649,2)</f>
        <v>0</v>
      </c>
      <c r="AY649" s="65" t="s">
        <v>1184</v>
      </c>
      <c r="AZ649" s="65" t="s">
        <v>1103</v>
      </c>
      <c r="BA649" s="46" t="s">
        <v>136</v>
      </c>
      <c r="BC649" s="34">
        <f>AW649+AX649</f>
        <v>0</v>
      </c>
      <c r="BD649" s="34">
        <f>H649/(100-BE649)*100</f>
        <v>0</v>
      </c>
      <c r="BE649" s="34">
        <v>0</v>
      </c>
      <c r="BF649" s="34">
        <f>649</f>
        <v>649</v>
      </c>
      <c r="BH649" s="34">
        <f>G649*AO649</f>
        <v>0</v>
      </c>
      <c r="BI649" s="34">
        <f>G649*AP649</f>
        <v>0</v>
      </c>
      <c r="BJ649" s="34">
        <f>G649*H649</f>
        <v>0</v>
      </c>
      <c r="BK649" s="34"/>
      <c r="BL649" s="34">
        <v>764</v>
      </c>
      <c r="BW649" s="34">
        <v>21</v>
      </c>
      <c r="BX649" s="3" t="s">
        <v>1236</v>
      </c>
    </row>
    <row r="650" spans="1:76" ht="13.5" customHeight="1" x14ac:dyDescent="0.25">
      <c r="A650" s="66"/>
      <c r="C650" s="69" t="s">
        <v>204</v>
      </c>
      <c r="D650" s="169" t="s">
        <v>1237</v>
      </c>
      <c r="E650" s="170"/>
      <c r="F650" s="170"/>
      <c r="G650" s="170"/>
      <c r="H650" s="171"/>
      <c r="I650" s="170"/>
      <c r="J650" s="170"/>
      <c r="K650" s="172"/>
    </row>
    <row r="651" spans="1:76" x14ac:dyDescent="0.25">
      <c r="A651" s="66"/>
      <c r="D651" s="67" t="s">
        <v>1232</v>
      </c>
      <c r="E651" s="67" t="s">
        <v>1238</v>
      </c>
      <c r="G651" s="68">
        <v>9.65</v>
      </c>
      <c r="K651" s="59"/>
    </row>
    <row r="652" spans="1:76" x14ac:dyDescent="0.25">
      <c r="A652" s="66"/>
      <c r="D652" s="67" t="s">
        <v>166</v>
      </c>
      <c r="E652" s="67" t="s">
        <v>1239</v>
      </c>
      <c r="G652" s="68">
        <v>5</v>
      </c>
      <c r="K652" s="59"/>
    </row>
    <row r="653" spans="1:76" x14ac:dyDescent="0.25">
      <c r="A653" s="1" t="s">
        <v>1240</v>
      </c>
      <c r="B653" s="2" t="s">
        <v>84</v>
      </c>
      <c r="C653" s="2" t="s">
        <v>1241</v>
      </c>
      <c r="D653" s="86" t="s">
        <v>1242</v>
      </c>
      <c r="E653" s="81"/>
      <c r="F653" s="2" t="s">
        <v>239</v>
      </c>
      <c r="G653" s="34">
        <v>9.1</v>
      </c>
      <c r="H653" s="64">
        <v>0</v>
      </c>
      <c r="I653" s="34">
        <f>ROUND(G653*H653,2)</f>
        <v>0</v>
      </c>
      <c r="J653" s="65" t="s">
        <v>133</v>
      </c>
      <c r="K653" s="59"/>
      <c r="Z653" s="34">
        <f>ROUND(IF(AQ653="5",BJ653,0),2)</f>
        <v>0</v>
      </c>
      <c r="AB653" s="34">
        <f>ROUND(IF(AQ653="1",BH653,0),2)</f>
        <v>0</v>
      </c>
      <c r="AC653" s="34">
        <f>ROUND(IF(AQ653="1",BI653,0),2)</f>
        <v>0</v>
      </c>
      <c r="AD653" s="34">
        <f>ROUND(IF(AQ653="7",BH653,0),2)</f>
        <v>0</v>
      </c>
      <c r="AE653" s="34">
        <f>ROUND(IF(AQ653="7",BI653,0),2)</f>
        <v>0</v>
      </c>
      <c r="AF653" s="34">
        <f>ROUND(IF(AQ653="2",BH653,0),2)</f>
        <v>0</v>
      </c>
      <c r="AG653" s="34">
        <f>ROUND(IF(AQ653="2",BI653,0),2)</f>
        <v>0</v>
      </c>
      <c r="AH653" s="34">
        <f>ROUND(IF(AQ653="0",BJ653,0),2)</f>
        <v>0</v>
      </c>
      <c r="AI653" s="46" t="s">
        <v>84</v>
      </c>
      <c r="AJ653" s="34">
        <f>IF(AN653=0,I653,0)</f>
        <v>0</v>
      </c>
      <c r="AK653" s="34">
        <f>IF(AN653=12,I653,0)</f>
        <v>0</v>
      </c>
      <c r="AL653" s="34">
        <f>IF(AN653=21,I653,0)</f>
        <v>0</v>
      </c>
      <c r="AN653" s="34">
        <v>21</v>
      </c>
      <c r="AO653" s="34">
        <f>H653*0.406272609</f>
        <v>0</v>
      </c>
      <c r="AP653" s="34">
        <f>H653*(1-0.406272609)</f>
        <v>0</v>
      </c>
      <c r="AQ653" s="65" t="s">
        <v>175</v>
      </c>
      <c r="AV653" s="34">
        <f>ROUND(AW653+AX653,2)</f>
        <v>0</v>
      </c>
      <c r="AW653" s="34">
        <f>ROUND(G653*AO653,2)</f>
        <v>0</v>
      </c>
      <c r="AX653" s="34">
        <f>ROUND(G653*AP653,2)</f>
        <v>0</v>
      </c>
      <c r="AY653" s="65" t="s">
        <v>1184</v>
      </c>
      <c r="AZ653" s="65" t="s">
        <v>1103</v>
      </c>
      <c r="BA653" s="46" t="s">
        <v>136</v>
      </c>
      <c r="BC653" s="34">
        <f>AW653+AX653</f>
        <v>0</v>
      </c>
      <c r="BD653" s="34">
        <f>H653/(100-BE653)*100</f>
        <v>0</v>
      </c>
      <c r="BE653" s="34">
        <v>0</v>
      </c>
      <c r="BF653" s="34">
        <f>653</f>
        <v>653</v>
      </c>
      <c r="BH653" s="34">
        <f>G653*AO653</f>
        <v>0</v>
      </c>
      <c r="BI653" s="34">
        <f>G653*AP653</f>
        <v>0</v>
      </c>
      <c r="BJ653" s="34">
        <f>G653*H653</f>
        <v>0</v>
      </c>
      <c r="BK653" s="34"/>
      <c r="BL653" s="34">
        <v>764</v>
      </c>
      <c r="BW653" s="34">
        <v>21</v>
      </c>
      <c r="BX653" s="3" t="s">
        <v>1242</v>
      </c>
    </row>
    <row r="654" spans="1:76" x14ac:dyDescent="0.25">
      <c r="A654" s="66"/>
      <c r="D654" s="67" t="s">
        <v>1243</v>
      </c>
      <c r="E654" s="67" t="s">
        <v>1244</v>
      </c>
      <c r="G654" s="68">
        <v>9.1</v>
      </c>
      <c r="K654" s="59"/>
    </row>
    <row r="655" spans="1:76" x14ac:dyDescent="0.25">
      <c r="A655" s="1" t="s">
        <v>1245</v>
      </c>
      <c r="B655" s="2" t="s">
        <v>84</v>
      </c>
      <c r="C655" s="2" t="s">
        <v>1246</v>
      </c>
      <c r="D655" s="86" t="s">
        <v>1247</v>
      </c>
      <c r="E655" s="81"/>
      <c r="F655" s="2" t="s">
        <v>132</v>
      </c>
      <c r="G655" s="34">
        <v>1.6</v>
      </c>
      <c r="H655" s="64">
        <v>0</v>
      </c>
      <c r="I655" s="34">
        <f>ROUND(G655*H655,2)</f>
        <v>0</v>
      </c>
      <c r="J655" s="65" t="s">
        <v>133</v>
      </c>
      <c r="K655" s="59"/>
      <c r="Z655" s="34">
        <f>ROUND(IF(AQ655="5",BJ655,0),2)</f>
        <v>0</v>
      </c>
      <c r="AB655" s="34">
        <f>ROUND(IF(AQ655="1",BH655,0),2)</f>
        <v>0</v>
      </c>
      <c r="AC655" s="34">
        <f>ROUND(IF(AQ655="1",BI655,0),2)</f>
        <v>0</v>
      </c>
      <c r="AD655" s="34">
        <f>ROUND(IF(AQ655="7",BH655,0),2)</f>
        <v>0</v>
      </c>
      <c r="AE655" s="34">
        <f>ROUND(IF(AQ655="7",BI655,0),2)</f>
        <v>0</v>
      </c>
      <c r="AF655" s="34">
        <f>ROUND(IF(AQ655="2",BH655,0),2)</f>
        <v>0</v>
      </c>
      <c r="AG655" s="34">
        <f>ROUND(IF(AQ655="2",BI655,0),2)</f>
        <v>0</v>
      </c>
      <c r="AH655" s="34">
        <f>ROUND(IF(AQ655="0",BJ655,0),2)</f>
        <v>0</v>
      </c>
      <c r="AI655" s="46" t="s">
        <v>84</v>
      </c>
      <c r="AJ655" s="34">
        <f>IF(AN655=0,I655,0)</f>
        <v>0</v>
      </c>
      <c r="AK655" s="34">
        <f>IF(AN655=12,I655,0)</f>
        <v>0</v>
      </c>
      <c r="AL655" s="34">
        <f>IF(AN655=21,I655,0)</f>
        <v>0</v>
      </c>
      <c r="AN655" s="34">
        <v>21</v>
      </c>
      <c r="AO655" s="34">
        <f>H655*0.436126401</f>
        <v>0</v>
      </c>
      <c r="AP655" s="34">
        <f>H655*(1-0.436126401)</f>
        <v>0</v>
      </c>
      <c r="AQ655" s="65" t="s">
        <v>175</v>
      </c>
      <c r="AV655" s="34">
        <f>ROUND(AW655+AX655,2)</f>
        <v>0</v>
      </c>
      <c r="AW655" s="34">
        <f>ROUND(G655*AO655,2)</f>
        <v>0</v>
      </c>
      <c r="AX655" s="34">
        <f>ROUND(G655*AP655,2)</f>
        <v>0</v>
      </c>
      <c r="AY655" s="65" t="s">
        <v>1184</v>
      </c>
      <c r="AZ655" s="65" t="s">
        <v>1103</v>
      </c>
      <c r="BA655" s="46" t="s">
        <v>136</v>
      </c>
      <c r="BC655" s="34">
        <f>AW655+AX655</f>
        <v>0</v>
      </c>
      <c r="BD655" s="34">
        <f>H655/(100-BE655)*100</f>
        <v>0</v>
      </c>
      <c r="BE655" s="34">
        <v>0</v>
      </c>
      <c r="BF655" s="34">
        <f>655</f>
        <v>655</v>
      </c>
      <c r="BH655" s="34">
        <f>G655*AO655</f>
        <v>0</v>
      </c>
      <c r="BI655" s="34">
        <f>G655*AP655</f>
        <v>0</v>
      </c>
      <c r="BJ655" s="34">
        <f>G655*H655</f>
        <v>0</v>
      </c>
      <c r="BK655" s="34"/>
      <c r="BL655" s="34">
        <v>764</v>
      </c>
      <c r="BW655" s="34">
        <v>21</v>
      </c>
      <c r="BX655" s="3" t="s">
        <v>1247</v>
      </c>
    </row>
    <row r="656" spans="1:76" ht="13.5" customHeight="1" x14ac:dyDescent="0.25">
      <c r="A656" s="66"/>
      <c r="C656" s="69" t="s">
        <v>204</v>
      </c>
      <c r="D656" s="169" t="s">
        <v>1248</v>
      </c>
      <c r="E656" s="170"/>
      <c r="F656" s="170"/>
      <c r="G656" s="170"/>
      <c r="H656" s="171"/>
      <c r="I656" s="170"/>
      <c r="J656" s="170"/>
      <c r="K656" s="172"/>
    </row>
    <row r="657" spans="1:76" x14ac:dyDescent="0.25">
      <c r="A657" s="66"/>
      <c r="D657" s="67" t="s">
        <v>348</v>
      </c>
      <c r="E657" s="67" t="s">
        <v>4</v>
      </c>
      <c r="G657" s="68">
        <v>1.6</v>
      </c>
      <c r="K657" s="59"/>
    </row>
    <row r="658" spans="1:76" x14ac:dyDescent="0.25">
      <c r="A658" s="1" t="s">
        <v>1249</v>
      </c>
      <c r="B658" s="2" t="s">
        <v>84</v>
      </c>
      <c r="C658" s="2" t="s">
        <v>1250</v>
      </c>
      <c r="D658" s="86" t="s">
        <v>1251</v>
      </c>
      <c r="E658" s="81"/>
      <c r="F658" s="2" t="s">
        <v>258</v>
      </c>
      <c r="G658" s="34">
        <v>1</v>
      </c>
      <c r="H658" s="64">
        <v>0</v>
      </c>
      <c r="I658" s="34">
        <f>ROUND(G658*H658,2)</f>
        <v>0</v>
      </c>
      <c r="J658" s="65" t="s">
        <v>133</v>
      </c>
      <c r="K658" s="59"/>
      <c r="Z658" s="34">
        <f>ROUND(IF(AQ658="5",BJ658,0),2)</f>
        <v>0</v>
      </c>
      <c r="AB658" s="34">
        <f>ROUND(IF(AQ658="1",BH658,0),2)</f>
        <v>0</v>
      </c>
      <c r="AC658" s="34">
        <f>ROUND(IF(AQ658="1",BI658,0),2)</f>
        <v>0</v>
      </c>
      <c r="AD658" s="34">
        <f>ROUND(IF(AQ658="7",BH658,0),2)</f>
        <v>0</v>
      </c>
      <c r="AE658" s="34">
        <f>ROUND(IF(AQ658="7",BI658,0),2)</f>
        <v>0</v>
      </c>
      <c r="AF658" s="34">
        <f>ROUND(IF(AQ658="2",BH658,0),2)</f>
        <v>0</v>
      </c>
      <c r="AG658" s="34">
        <f>ROUND(IF(AQ658="2",BI658,0),2)</f>
        <v>0</v>
      </c>
      <c r="AH658" s="34">
        <f>ROUND(IF(AQ658="0",BJ658,0),2)</f>
        <v>0</v>
      </c>
      <c r="AI658" s="46" t="s">
        <v>84</v>
      </c>
      <c r="AJ658" s="34">
        <f>IF(AN658=0,I658,0)</f>
        <v>0</v>
      </c>
      <c r="AK658" s="34">
        <f>IF(AN658=12,I658,0)</f>
        <v>0</v>
      </c>
      <c r="AL658" s="34">
        <f>IF(AN658=21,I658,0)</f>
        <v>0</v>
      </c>
      <c r="AN658" s="34">
        <v>21</v>
      </c>
      <c r="AO658" s="34">
        <f>H658*0.560533752</f>
        <v>0</v>
      </c>
      <c r="AP658" s="34">
        <f>H658*(1-0.560533752)</f>
        <v>0</v>
      </c>
      <c r="AQ658" s="65" t="s">
        <v>175</v>
      </c>
      <c r="AV658" s="34">
        <f>ROUND(AW658+AX658,2)</f>
        <v>0</v>
      </c>
      <c r="AW658" s="34">
        <f>ROUND(G658*AO658,2)</f>
        <v>0</v>
      </c>
      <c r="AX658" s="34">
        <f>ROUND(G658*AP658,2)</f>
        <v>0</v>
      </c>
      <c r="AY658" s="65" t="s">
        <v>1184</v>
      </c>
      <c r="AZ658" s="65" t="s">
        <v>1103</v>
      </c>
      <c r="BA658" s="46" t="s">
        <v>136</v>
      </c>
      <c r="BC658" s="34">
        <f>AW658+AX658</f>
        <v>0</v>
      </c>
      <c r="BD658" s="34">
        <f>H658/(100-BE658)*100</f>
        <v>0</v>
      </c>
      <c r="BE658" s="34">
        <v>0</v>
      </c>
      <c r="BF658" s="34">
        <f>658</f>
        <v>658</v>
      </c>
      <c r="BH658" s="34">
        <f>G658*AO658</f>
        <v>0</v>
      </c>
      <c r="BI658" s="34">
        <f>G658*AP658</f>
        <v>0</v>
      </c>
      <c r="BJ658" s="34">
        <f>G658*H658</f>
        <v>0</v>
      </c>
      <c r="BK658" s="34"/>
      <c r="BL658" s="34">
        <v>764</v>
      </c>
      <c r="BW658" s="34">
        <v>21</v>
      </c>
      <c r="BX658" s="3" t="s">
        <v>1251</v>
      </c>
    </row>
    <row r="659" spans="1:76" ht="13.5" customHeight="1" x14ac:dyDescent="0.25">
      <c r="A659" s="66"/>
      <c r="C659" s="69" t="s">
        <v>204</v>
      </c>
      <c r="D659" s="169" t="s">
        <v>1252</v>
      </c>
      <c r="E659" s="170"/>
      <c r="F659" s="170"/>
      <c r="G659" s="170"/>
      <c r="H659" s="171"/>
      <c r="I659" s="170"/>
      <c r="J659" s="170"/>
      <c r="K659" s="172"/>
    </row>
    <row r="660" spans="1:76" x14ac:dyDescent="0.25">
      <c r="A660" s="66"/>
      <c r="D660" s="67" t="s">
        <v>129</v>
      </c>
      <c r="E660" s="67" t="s">
        <v>4</v>
      </c>
      <c r="G660" s="68">
        <v>1</v>
      </c>
      <c r="K660" s="59"/>
    </row>
    <row r="661" spans="1:76" x14ac:dyDescent="0.25">
      <c r="A661" s="1" t="s">
        <v>1253</v>
      </c>
      <c r="B661" s="2" t="s">
        <v>84</v>
      </c>
      <c r="C661" s="2" t="s">
        <v>1254</v>
      </c>
      <c r="D661" s="86" t="s">
        <v>1255</v>
      </c>
      <c r="E661" s="81"/>
      <c r="F661" s="2" t="s">
        <v>239</v>
      </c>
      <c r="G661" s="34">
        <v>4.5</v>
      </c>
      <c r="H661" s="64">
        <v>0</v>
      </c>
      <c r="I661" s="34">
        <f>ROUND(G661*H661,2)</f>
        <v>0</v>
      </c>
      <c r="J661" s="65" t="s">
        <v>133</v>
      </c>
      <c r="K661" s="59"/>
      <c r="Z661" s="34">
        <f>ROUND(IF(AQ661="5",BJ661,0),2)</f>
        <v>0</v>
      </c>
      <c r="AB661" s="34">
        <f>ROUND(IF(AQ661="1",BH661,0),2)</f>
        <v>0</v>
      </c>
      <c r="AC661" s="34">
        <f>ROUND(IF(AQ661="1",BI661,0),2)</f>
        <v>0</v>
      </c>
      <c r="AD661" s="34">
        <f>ROUND(IF(AQ661="7",BH661,0),2)</f>
        <v>0</v>
      </c>
      <c r="AE661" s="34">
        <f>ROUND(IF(AQ661="7",BI661,0),2)</f>
        <v>0</v>
      </c>
      <c r="AF661" s="34">
        <f>ROUND(IF(AQ661="2",BH661,0),2)</f>
        <v>0</v>
      </c>
      <c r="AG661" s="34">
        <f>ROUND(IF(AQ661="2",BI661,0),2)</f>
        <v>0</v>
      </c>
      <c r="AH661" s="34">
        <f>ROUND(IF(AQ661="0",BJ661,0),2)</f>
        <v>0</v>
      </c>
      <c r="AI661" s="46" t="s">
        <v>84</v>
      </c>
      <c r="AJ661" s="34">
        <f>IF(AN661=0,I661,0)</f>
        <v>0</v>
      </c>
      <c r="AK661" s="34">
        <f>IF(AN661=12,I661,0)</f>
        <v>0</v>
      </c>
      <c r="AL661" s="34">
        <f>IF(AN661=21,I661,0)</f>
        <v>0</v>
      </c>
      <c r="AN661" s="34">
        <v>21</v>
      </c>
      <c r="AO661" s="34">
        <f>H661*0.73875783</f>
        <v>0</v>
      </c>
      <c r="AP661" s="34">
        <f>H661*(1-0.73875783)</f>
        <v>0</v>
      </c>
      <c r="AQ661" s="65" t="s">
        <v>175</v>
      </c>
      <c r="AV661" s="34">
        <f>ROUND(AW661+AX661,2)</f>
        <v>0</v>
      </c>
      <c r="AW661" s="34">
        <f>ROUND(G661*AO661,2)</f>
        <v>0</v>
      </c>
      <c r="AX661" s="34">
        <f>ROUND(G661*AP661,2)</f>
        <v>0</v>
      </c>
      <c r="AY661" s="65" t="s">
        <v>1184</v>
      </c>
      <c r="AZ661" s="65" t="s">
        <v>1103</v>
      </c>
      <c r="BA661" s="46" t="s">
        <v>136</v>
      </c>
      <c r="BC661" s="34">
        <f>AW661+AX661</f>
        <v>0</v>
      </c>
      <c r="BD661" s="34">
        <f>H661/(100-BE661)*100</f>
        <v>0</v>
      </c>
      <c r="BE661" s="34">
        <v>0</v>
      </c>
      <c r="BF661" s="34">
        <f>661</f>
        <v>661</v>
      </c>
      <c r="BH661" s="34">
        <f>G661*AO661</f>
        <v>0</v>
      </c>
      <c r="BI661" s="34">
        <f>G661*AP661</f>
        <v>0</v>
      </c>
      <c r="BJ661" s="34">
        <f>G661*H661</f>
        <v>0</v>
      </c>
      <c r="BK661" s="34"/>
      <c r="BL661" s="34">
        <v>764</v>
      </c>
      <c r="BW661" s="34">
        <v>21</v>
      </c>
      <c r="BX661" s="3" t="s">
        <v>1255</v>
      </c>
    </row>
    <row r="662" spans="1:76" ht="13.5" customHeight="1" x14ac:dyDescent="0.25">
      <c r="A662" s="66"/>
      <c r="C662" s="69" t="s">
        <v>204</v>
      </c>
      <c r="D662" s="169" t="s">
        <v>1256</v>
      </c>
      <c r="E662" s="170"/>
      <c r="F662" s="170"/>
      <c r="G662" s="170"/>
      <c r="H662" s="171"/>
      <c r="I662" s="170"/>
      <c r="J662" s="170"/>
      <c r="K662" s="172"/>
    </row>
    <row r="663" spans="1:76" x14ac:dyDescent="0.25">
      <c r="A663" s="66"/>
      <c r="D663" s="67" t="s">
        <v>1140</v>
      </c>
      <c r="E663" s="67" t="s">
        <v>4</v>
      </c>
      <c r="G663" s="68">
        <v>4.5</v>
      </c>
      <c r="K663" s="59"/>
    </row>
    <row r="664" spans="1:76" x14ac:dyDescent="0.25">
      <c r="A664" s="1" t="s">
        <v>1257</v>
      </c>
      <c r="B664" s="2" t="s">
        <v>84</v>
      </c>
      <c r="C664" s="2" t="s">
        <v>1258</v>
      </c>
      <c r="D664" s="86" t="s">
        <v>1259</v>
      </c>
      <c r="E664" s="81"/>
      <c r="F664" s="2" t="s">
        <v>239</v>
      </c>
      <c r="G664" s="34">
        <v>3.3</v>
      </c>
      <c r="H664" s="64">
        <v>0</v>
      </c>
      <c r="I664" s="34">
        <f>ROUND(G664*H664,2)</f>
        <v>0</v>
      </c>
      <c r="J664" s="65" t="s">
        <v>133</v>
      </c>
      <c r="K664" s="59"/>
      <c r="Z664" s="34">
        <f>ROUND(IF(AQ664="5",BJ664,0),2)</f>
        <v>0</v>
      </c>
      <c r="AB664" s="34">
        <f>ROUND(IF(AQ664="1",BH664,0),2)</f>
        <v>0</v>
      </c>
      <c r="AC664" s="34">
        <f>ROUND(IF(AQ664="1",BI664,0),2)</f>
        <v>0</v>
      </c>
      <c r="AD664" s="34">
        <f>ROUND(IF(AQ664="7",BH664,0),2)</f>
        <v>0</v>
      </c>
      <c r="AE664" s="34">
        <f>ROUND(IF(AQ664="7",BI664,0),2)</f>
        <v>0</v>
      </c>
      <c r="AF664" s="34">
        <f>ROUND(IF(AQ664="2",BH664,0),2)</f>
        <v>0</v>
      </c>
      <c r="AG664" s="34">
        <f>ROUND(IF(AQ664="2",BI664,0),2)</f>
        <v>0</v>
      </c>
      <c r="AH664" s="34">
        <f>ROUND(IF(AQ664="0",BJ664,0),2)</f>
        <v>0</v>
      </c>
      <c r="AI664" s="46" t="s">
        <v>84</v>
      </c>
      <c r="AJ664" s="34">
        <f>IF(AN664=0,I664,0)</f>
        <v>0</v>
      </c>
      <c r="AK664" s="34">
        <f>IF(AN664=12,I664,0)</f>
        <v>0</v>
      </c>
      <c r="AL664" s="34">
        <f>IF(AN664=21,I664,0)</f>
        <v>0</v>
      </c>
      <c r="AN664" s="34">
        <v>21</v>
      </c>
      <c r="AO664" s="34">
        <f>H664*0.811460761</f>
        <v>0</v>
      </c>
      <c r="AP664" s="34">
        <f>H664*(1-0.811460761)</f>
        <v>0</v>
      </c>
      <c r="AQ664" s="65" t="s">
        <v>175</v>
      </c>
      <c r="AV664" s="34">
        <f>ROUND(AW664+AX664,2)</f>
        <v>0</v>
      </c>
      <c r="AW664" s="34">
        <f>ROUND(G664*AO664,2)</f>
        <v>0</v>
      </c>
      <c r="AX664" s="34">
        <f>ROUND(G664*AP664,2)</f>
        <v>0</v>
      </c>
      <c r="AY664" s="65" t="s">
        <v>1184</v>
      </c>
      <c r="AZ664" s="65" t="s">
        <v>1103</v>
      </c>
      <c r="BA664" s="46" t="s">
        <v>136</v>
      </c>
      <c r="BC664" s="34">
        <f>AW664+AX664</f>
        <v>0</v>
      </c>
      <c r="BD664" s="34">
        <f>H664/(100-BE664)*100</f>
        <v>0</v>
      </c>
      <c r="BE664" s="34">
        <v>0</v>
      </c>
      <c r="BF664" s="34">
        <f>664</f>
        <v>664</v>
      </c>
      <c r="BH664" s="34">
        <f>G664*AO664</f>
        <v>0</v>
      </c>
      <c r="BI664" s="34">
        <f>G664*AP664</f>
        <v>0</v>
      </c>
      <c r="BJ664" s="34">
        <f>G664*H664</f>
        <v>0</v>
      </c>
      <c r="BK664" s="34"/>
      <c r="BL664" s="34">
        <v>764</v>
      </c>
      <c r="BW664" s="34">
        <v>21</v>
      </c>
      <c r="BX664" s="3" t="s">
        <v>1259</v>
      </c>
    </row>
    <row r="665" spans="1:76" ht="13.5" customHeight="1" x14ac:dyDescent="0.25">
      <c r="A665" s="66"/>
      <c r="C665" s="69" t="s">
        <v>204</v>
      </c>
      <c r="D665" s="169" t="s">
        <v>1260</v>
      </c>
      <c r="E665" s="170"/>
      <c r="F665" s="170"/>
      <c r="G665" s="170"/>
      <c r="H665" s="171"/>
      <c r="I665" s="170"/>
      <c r="J665" s="170"/>
      <c r="K665" s="172"/>
    </row>
    <row r="666" spans="1:76" x14ac:dyDescent="0.25">
      <c r="A666" s="66"/>
      <c r="D666" s="67" t="s">
        <v>1261</v>
      </c>
      <c r="E666" s="67" t="s">
        <v>1262</v>
      </c>
      <c r="G666" s="68">
        <v>3.3</v>
      </c>
      <c r="K666" s="59"/>
    </row>
    <row r="667" spans="1:76" x14ac:dyDescent="0.25">
      <c r="A667" s="1" t="s">
        <v>1263</v>
      </c>
      <c r="B667" s="2" t="s">
        <v>84</v>
      </c>
      <c r="C667" s="2" t="s">
        <v>1264</v>
      </c>
      <c r="D667" s="86" t="s">
        <v>1265</v>
      </c>
      <c r="E667" s="81"/>
      <c r="F667" s="2" t="s">
        <v>239</v>
      </c>
      <c r="G667" s="34">
        <v>29.5</v>
      </c>
      <c r="H667" s="64">
        <v>0</v>
      </c>
      <c r="I667" s="34">
        <f>ROUND(G667*H667,2)</f>
        <v>0</v>
      </c>
      <c r="J667" s="65" t="s">
        <v>133</v>
      </c>
      <c r="K667" s="59"/>
      <c r="Z667" s="34">
        <f>ROUND(IF(AQ667="5",BJ667,0),2)</f>
        <v>0</v>
      </c>
      <c r="AB667" s="34">
        <f>ROUND(IF(AQ667="1",BH667,0),2)</f>
        <v>0</v>
      </c>
      <c r="AC667" s="34">
        <f>ROUND(IF(AQ667="1",BI667,0),2)</f>
        <v>0</v>
      </c>
      <c r="AD667" s="34">
        <f>ROUND(IF(AQ667="7",BH667,0),2)</f>
        <v>0</v>
      </c>
      <c r="AE667" s="34">
        <f>ROUND(IF(AQ667="7",BI667,0),2)</f>
        <v>0</v>
      </c>
      <c r="AF667" s="34">
        <f>ROUND(IF(AQ667="2",BH667,0),2)</f>
        <v>0</v>
      </c>
      <c r="AG667" s="34">
        <f>ROUND(IF(AQ667="2",BI667,0),2)</f>
        <v>0</v>
      </c>
      <c r="AH667" s="34">
        <f>ROUND(IF(AQ667="0",BJ667,0),2)</f>
        <v>0</v>
      </c>
      <c r="AI667" s="46" t="s">
        <v>84</v>
      </c>
      <c r="AJ667" s="34">
        <f>IF(AN667=0,I667,0)</f>
        <v>0</v>
      </c>
      <c r="AK667" s="34">
        <f>IF(AN667=12,I667,0)</f>
        <v>0</v>
      </c>
      <c r="AL667" s="34">
        <f>IF(AN667=21,I667,0)</f>
        <v>0</v>
      </c>
      <c r="AN667" s="34">
        <v>21</v>
      </c>
      <c r="AO667" s="34">
        <f>H667*0.212062573</f>
        <v>0</v>
      </c>
      <c r="AP667" s="34">
        <f>H667*(1-0.212062573)</f>
        <v>0</v>
      </c>
      <c r="AQ667" s="65" t="s">
        <v>175</v>
      </c>
      <c r="AV667" s="34">
        <f>ROUND(AW667+AX667,2)</f>
        <v>0</v>
      </c>
      <c r="AW667" s="34">
        <f>ROUND(G667*AO667,2)</f>
        <v>0</v>
      </c>
      <c r="AX667" s="34">
        <f>ROUND(G667*AP667,2)</f>
        <v>0</v>
      </c>
      <c r="AY667" s="65" t="s">
        <v>1184</v>
      </c>
      <c r="AZ667" s="65" t="s">
        <v>1103</v>
      </c>
      <c r="BA667" s="46" t="s">
        <v>136</v>
      </c>
      <c r="BC667" s="34">
        <f>AW667+AX667</f>
        <v>0</v>
      </c>
      <c r="BD667" s="34">
        <f>H667/(100-BE667)*100</f>
        <v>0</v>
      </c>
      <c r="BE667" s="34">
        <v>0</v>
      </c>
      <c r="BF667" s="34">
        <f>667</f>
        <v>667</v>
      </c>
      <c r="BH667" s="34">
        <f>G667*AO667</f>
        <v>0</v>
      </c>
      <c r="BI667" s="34">
        <f>G667*AP667</f>
        <v>0</v>
      </c>
      <c r="BJ667" s="34">
        <f>G667*H667</f>
        <v>0</v>
      </c>
      <c r="BK667" s="34"/>
      <c r="BL667" s="34">
        <v>764</v>
      </c>
      <c r="BW667" s="34">
        <v>21</v>
      </c>
      <c r="BX667" s="3" t="s">
        <v>1265</v>
      </c>
    </row>
    <row r="668" spans="1:76" x14ac:dyDescent="0.25">
      <c r="A668" s="66"/>
      <c r="D668" s="67" t="s">
        <v>944</v>
      </c>
      <c r="E668" s="67" t="s">
        <v>1266</v>
      </c>
      <c r="G668" s="68">
        <v>29.5</v>
      </c>
      <c r="K668" s="59"/>
    </row>
    <row r="669" spans="1:76" x14ac:dyDescent="0.25">
      <c r="A669" s="1" t="s">
        <v>1267</v>
      </c>
      <c r="B669" s="2" t="s">
        <v>84</v>
      </c>
      <c r="C669" s="2" t="s">
        <v>1268</v>
      </c>
      <c r="D669" s="86" t="s">
        <v>1269</v>
      </c>
      <c r="E669" s="81"/>
      <c r="F669" s="2" t="s">
        <v>178</v>
      </c>
      <c r="G669" s="34">
        <v>1.89568</v>
      </c>
      <c r="H669" s="64">
        <v>0</v>
      </c>
      <c r="I669" s="34">
        <f>ROUND(G669*H669,2)</f>
        <v>0</v>
      </c>
      <c r="J669" s="65" t="s">
        <v>133</v>
      </c>
      <c r="K669" s="59"/>
      <c r="Z669" s="34">
        <f>ROUND(IF(AQ669="5",BJ669,0),2)</f>
        <v>0</v>
      </c>
      <c r="AB669" s="34">
        <f>ROUND(IF(AQ669="1",BH669,0),2)</f>
        <v>0</v>
      </c>
      <c r="AC669" s="34">
        <f>ROUND(IF(AQ669="1",BI669,0),2)</f>
        <v>0</v>
      </c>
      <c r="AD669" s="34">
        <f>ROUND(IF(AQ669="7",BH669,0),2)</f>
        <v>0</v>
      </c>
      <c r="AE669" s="34">
        <f>ROUND(IF(AQ669="7",BI669,0),2)</f>
        <v>0</v>
      </c>
      <c r="AF669" s="34">
        <f>ROUND(IF(AQ669="2",BH669,0),2)</f>
        <v>0</v>
      </c>
      <c r="AG669" s="34">
        <f>ROUND(IF(AQ669="2",BI669,0),2)</f>
        <v>0</v>
      </c>
      <c r="AH669" s="34">
        <f>ROUND(IF(AQ669="0",BJ669,0),2)</f>
        <v>0</v>
      </c>
      <c r="AI669" s="46" t="s">
        <v>84</v>
      </c>
      <c r="AJ669" s="34">
        <f>IF(AN669=0,I669,0)</f>
        <v>0</v>
      </c>
      <c r="AK669" s="34">
        <f>IF(AN669=12,I669,0)</f>
        <v>0</v>
      </c>
      <c r="AL669" s="34">
        <f>IF(AN669=21,I669,0)</f>
        <v>0</v>
      </c>
      <c r="AN669" s="34">
        <v>21</v>
      </c>
      <c r="AO669" s="34">
        <f>H669*0</f>
        <v>0</v>
      </c>
      <c r="AP669" s="34">
        <f>H669*(1-0)</f>
        <v>0</v>
      </c>
      <c r="AQ669" s="65" t="s">
        <v>166</v>
      </c>
      <c r="AV669" s="34">
        <f>ROUND(AW669+AX669,2)</f>
        <v>0</v>
      </c>
      <c r="AW669" s="34">
        <f>ROUND(G669*AO669,2)</f>
        <v>0</v>
      </c>
      <c r="AX669" s="34">
        <f>ROUND(G669*AP669,2)</f>
        <v>0</v>
      </c>
      <c r="AY669" s="65" t="s">
        <v>1184</v>
      </c>
      <c r="AZ669" s="65" t="s">
        <v>1103</v>
      </c>
      <c r="BA669" s="46" t="s">
        <v>136</v>
      </c>
      <c r="BC669" s="34">
        <f>AW669+AX669</f>
        <v>0</v>
      </c>
      <c r="BD669" s="34">
        <f>H669/(100-BE669)*100</f>
        <v>0</v>
      </c>
      <c r="BE669" s="34">
        <v>0</v>
      </c>
      <c r="BF669" s="34">
        <f>669</f>
        <v>669</v>
      </c>
      <c r="BH669" s="34">
        <f>G669*AO669</f>
        <v>0</v>
      </c>
      <c r="BI669" s="34">
        <f>G669*AP669</f>
        <v>0</v>
      </c>
      <c r="BJ669" s="34">
        <f>G669*H669</f>
        <v>0</v>
      </c>
      <c r="BK669" s="34"/>
      <c r="BL669" s="34">
        <v>764</v>
      </c>
      <c r="BW669" s="34">
        <v>21</v>
      </c>
      <c r="BX669" s="3" t="s">
        <v>1269</v>
      </c>
    </row>
    <row r="670" spans="1:76" x14ac:dyDescent="0.25">
      <c r="A670" s="60" t="s">
        <v>4</v>
      </c>
      <c r="B670" s="61" t="s">
        <v>84</v>
      </c>
      <c r="C670" s="61" t="s">
        <v>1270</v>
      </c>
      <c r="D670" s="167" t="s">
        <v>1271</v>
      </c>
      <c r="E670" s="168"/>
      <c r="F670" s="62" t="s">
        <v>79</v>
      </c>
      <c r="G670" s="62" t="s">
        <v>79</v>
      </c>
      <c r="H670" s="63" t="s">
        <v>79</v>
      </c>
      <c r="I670" s="39">
        <f>SUM(I671:I734)</f>
        <v>0</v>
      </c>
      <c r="J670" s="46" t="s">
        <v>4</v>
      </c>
      <c r="K670" s="59"/>
      <c r="AI670" s="46" t="s">
        <v>84</v>
      </c>
      <c r="AS670" s="39">
        <f>SUM(AJ671:AJ734)</f>
        <v>0</v>
      </c>
      <c r="AT670" s="39">
        <f>SUM(AK671:AK734)</f>
        <v>0</v>
      </c>
      <c r="AU670" s="39">
        <f>SUM(AL671:AL734)</f>
        <v>0</v>
      </c>
    </row>
    <row r="671" spans="1:76" x14ac:dyDescent="0.25">
      <c r="A671" s="1" t="s">
        <v>1272</v>
      </c>
      <c r="B671" s="2" t="s">
        <v>84</v>
      </c>
      <c r="C671" s="2" t="s">
        <v>1273</v>
      </c>
      <c r="D671" s="86" t="s">
        <v>1274</v>
      </c>
      <c r="E671" s="81"/>
      <c r="F671" s="2" t="s">
        <v>258</v>
      </c>
      <c r="G671" s="34">
        <v>2</v>
      </c>
      <c r="H671" s="64">
        <v>0</v>
      </c>
      <c r="I671" s="34">
        <f>ROUND(G671*H671,2)</f>
        <v>0</v>
      </c>
      <c r="J671" s="65" t="s">
        <v>133</v>
      </c>
      <c r="K671" s="59"/>
      <c r="Z671" s="34">
        <f>ROUND(IF(AQ671="5",BJ671,0),2)</f>
        <v>0</v>
      </c>
      <c r="AB671" s="34">
        <f>ROUND(IF(AQ671="1",BH671,0),2)</f>
        <v>0</v>
      </c>
      <c r="AC671" s="34">
        <f>ROUND(IF(AQ671="1",BI671,0),2)</f>
        <v>0</v>
      </c>
      <c r="AD671" s="34">
        <f>ROUND(IF(AQ671="7",BH671,0),2)</f>
        <v>0</v>
      </c>
      <c r="AE671" s="34">
        <f>ROUND(IF(AQ671="7",BI671,0),2)</f>
        <v>0</v>
      </c>
      <c r="AF671" s="34">
        <f>ROUND(IF(AQ671="2",BH671,0),2)</f>
        <v>0</v>
      </c>
      <c r="AG671" s="34">
        <f>ROUND(IF(AQ671="2",BI671,0),2)</f>
        <v>0</v>
      </c>
      <c r="AH671" s="34">
        <f>ROUND(IF(AQ671="0",BJ671,0),2)</f>
        <v>0</v>
      </c>
      <c r="AI671" s="46" t="s">
        <v>84</v>
      </c>
      <c r="AJ671" s="34">
        <f>IF(AN671=0,I671,0)</f>
        <v>0</v>
      </c>
      <c r="AK671" s="34">
        <f>IF(AN671=12,I671,0)</f>
        <v>0</v>
      </c>
      <c r="AL671" s="34">
        <f>IF(AN671=21,I671,0)</f>
        <v>0</v>
      </c>
      <c r="AN671" s="34">
        <v>21</v>
      </c>
      <c r="AO671" s="34">
        <f>H671*0</f>
        <v>0</v>
      </c>
      <c r="AP671" s="34">
        <f>H671*(1-0)</f>
        <v>0</v>
      </c>
      <c r="AQ671" s="65" t="s">
        <v>175</v>
      </c>
      <c r="AV671" s="34">
        <f>ROUND(AW671+AX671,2)</f>
        <v>0</v>
      </c>
      <c r="AW671" s="34">
        <f>ROUND(G671*AO671,2)</f>
        <v>0</v>
      </c>
      <c r="AX671" s="34">
        <f>ROUND(G671*AP671,2)</f>
        <v>0</v>
      </c>
      <c r="AY671" s="65" t="s">
        <v>1275</v>
      </c>
      <c r="AZ671" s="65" t="s">
        <v>1103</v>
      </c>
      <c r="BA671" s="46" t="s">
        <v>136</v>
      </c>
      <c r="BC671" s="34">
        <f>AW671+AX671</f>
        <v>0</v>
      </c>
      <c r="BD671" s="34">
        <f>H671/(100-BE671)*100</f>
        <v>0</v>
      </c>
      <c r="BE671" s="34">
        <v>0</v>
      </c>
      <c r="BF671" s="34">
        <f>671</f>
        <v>671</v>
      </c>
      <c r="BH671" s="34">
        <f>G671*AO671</f>
        <v>0</v>
      </c>
      <c r="BI671" s="34">
        <f>G671*AP671</f>
        <v>0</v>
      </c>
      <c r="BJ671" s="34">
        <f>G671*H671</f>
        <v>0</v>
      </c>
      <c r="BK671" s="34"/>
      <c r="BL671" s="34">
        <v>766</v>
      </c>
      <c r="BW671" s="34">
        <v>21</v>
      </c>
      <c r="BX671" s="3" t="s">
        <v>1274</v>
      </c>
    </row>
    <row r="672" spans="1:76" x14ac:dyDescent="0.25">
      <c r="A672" s="66"/>
      <c r="D672" s="67" t="s">
        <v>140</v>
      </c>
      <c r="E672" s="67" t="s">
        <v>1276</v>
      </c>
      <c r="G672" s="68">
        <v>2</v>
      </c>
      <c r="K672" s="59"/>
    </row>
    <row r="673" spans="1:76" x14ac:dyDescent="0.25">
      <c r="A673" s="1" t="s">
        <v>1277</v>
      </c>
      <c r="B673" s="2" t="s">
        <v>84</v>
      </c>
      <c r="C673" s="2" t="s">
        <v>1278</v>
      </c>
      <c r="D673" s="86" t="s">
        <v>1279</v>
      </c>
      <c r="E673" s="81"/>
      <c r="F673" s="2" t="s">
        <v>258</v>
      </c>
      <c r="G673" s="34">
        <v>2</v>
      </c>
      <c r="H673" s="64">
        <v>0</v>
      </c>
      <c r="I673" s="34">
        <f>ROUND(G673*H673,2)</f>
        <v>0</v>
      </c>
      <c r="J673" s="65" t="s">
        <v>133</v>
      </c>
      <c r="K673" s="59"/>
      <c r="Z673" s="34">
        <f>ROUND(IF(AQ673="5",BJ673,0),2)</f>
        <v>0</v>
      </c>
      <c r="AB673" s="34">
        <f>ROUND(IF(AQ673="1",BH673,0),2)</f>
        <v>0</v>
      </c>
      <c r="AC673" s="34">
        <f>ROUND(IF(AQ673="1",BI673,0),2)</f>
        <v>0</v>
      </c>
      <c r="AD673" s="34">
        <f>ROUND(IF(AQ673="7",BH673,0),2)</f>
        <v>0</v>
      </c>
      <c r="AE673" s="34">
        <f>ROUND(IF(AQ673="7",BI673,0),2)</f>
        <v>0</v>
      </c>
      <c r="AF673" s="34">
        <f>ROUND(IF(AQ673="2",BH673,0),2)</f>
        <v>0</v>
      </c>
      <c r="AG673" s="34">
        <f>ROUND(IF(AQ673="2",BI673,0),2)</f>
        <v>0</v>
      </c>
      <c r="AH673" s="34">
        <f>ROUND(IF(AQ673="0",BJ673,0),2)</f>
        <v>0</v>
      </c>
      <c r="AI673" s="46" t="s">
        <v>84</v>
      </c>
      <c r="AJ673" s="34">
        <f>IF(AN673=0,I673,0)</f>
        <v>0</v>
      </c>
      <c r="AK673" s="34">
        <f>IF(AN673=12,I673,0)</f>
        <v>0</v>
      </c>
      <c r="AL673" s="34">
        <f>IF(AN673=21,I673,0)</f>
        <v>0</v>
      </c>
      <c r="AN673" s="34">
        <v>21</v>
      </c>
      <c r="AO673" s="34">
        <f>H673*1</f>
        <v>0</v>
      </c>
      <c r="AP673" s="34">
        <f>H673*(1-1)</f>
        <v>0</v>
      </c>
      <c r="AQ673" s="65" t="s">
        <v>175</v>
      </c>
      <c r="AV673" s="34">
        <f>ROUND(AW673+AX673,2)</f>
        <v>0</v>
      </c>
      <c r="AW673" s="34">
        <f>ROUND(G673*AO673,2)</f>
        <v>0</v>
      </c>
      <c r="AX673" s="34">
        <f>ROUND(G673*AP673,2)</f>
        <v>0</v>
      </c>
      <c r="AY673" s="65" t="s">
        <v>1275</v>
      </c>
      <c r="AZ673" s="65" t="s">
        <v>1103</v>
      </c>
      <c r="BA673" s="46" t="s">
        <v>136</v>
      </c>
      <c r="BC673" s="34">
        <f>AW673+AX673</f>
        <v>0</v>
      </c>
      <c r="BD673" s="34">
        <f>H673/(100-BE673)*100</f>
        <v>0</v>
      </c>
      <c r="BE673" s="34">
        <v>0</v>
      </c>
      <c r="BF673" s="34">
        <f>673</f>
        <v>673</v>
      </c>
      <c r="BH673" s="34">
        <f>G673*AO673</f>
        <v>0</v>
      </c>
      <c r="BI673" s="34">
        <f>G673*AP673</f>
        <v>0</v>
      </c>
      <c r="BJ673" s="34">
        <f>G673*H673</f>
        <v>0</v>
      </c>
      <c r="BK673" s="34"/>
      <c r="BL673" s="34">
        <v>766</v>
      </c>
      <c r="BW673" s="34">
        <v>21</v>
      </c>
      <c r="BX673" s="3" t="s">
        <v>1279</v>
      </c>
    </row>
    <row r="674" spans="1:76" x14ac:dyDescent="0.25">
      <c r="A674" s="66"/>
      <c r="D674" s="67" t="s">
        <v>140</v>
      </c>
      <c r="E674" s="67" t="s">
        <v>4</v>
      </c>
      <c r="G674" s="68">
        <v>2</v>
      </c>
      <c r="K674" s="59"/>
    </row>
    <row r="675" spans="1:76" x14ac:dyDescent="0.25">
      <c r="A675" s="1" t="s">
        <v>1280</v>
      </c>
      <c r="B675" s="2" t="s">
        <v>84</v>
      </c>
      <c r="C675" s="2" t="s">
        <v>1281</v>
      </c>
      <c r="D675" s="86" t="s">
        <v>1282</v>
      </c>
      <c r="E675" s="81"/>
      <c r="F675" s="2" t="s">
        <v>258</v>
      </c>
      <c r="G675" s="34">
        <v>3</v>
      </c>
      <c r="H675" s="64">
        <v>0</v>
      </c>
      <c r="I675" s="34">
        <f>ROUND(G675*H675,2)</f>
        <v>0</v>
      </c>
      <c r="J675" s="65" t="s">
        <v>133</v>
      </c>
      <c r="K675" s="59"/>
      <c r="Z675" s="34">
        <f>ROUND(IF(AQ675="5",BJ675,0),2)</f>
        <v>0</v>
      </c>
      <c r="AB675" s="34">
        <f>ROUND(IF(AQ675="1",BH675,0),2)</f>
        <v>0</v>
      </c>
      <c r="AC675" s="34">
        <f>ROUND(IF(AQ675="1",BI675,0),2)</f>
        <v>0</v>
      </c>
      <c r="AD675" s="34">
        <f>ROUND(IF(AQ675="7",BH675,0),2)</f>
        <v>0</v>
      </c>
      <c r="AE675" s="34">
        <f>ROUND(IF(AQ675="7",BI675,0),2)</f>
        <v>0</v>
      </c>
      <c r="AF675" s="34">
        <f>ROUND(IF(AQ675="2",BH675,0),2)</f>
        <v>0</v>
      </c>
      <c r="AG675" s="34">
        <f>ROUND(IF(AQ675="2",BI675,0),2)</f>
        <v>0</v>
      </c>
      <c r="AH675" s="34">
        <f>ROUND(IF(AQ675="0",BJ675,0),2)</f>
        <v>0</v>
      </c>
      <c r="AI675" s="46" t="s">
        <v>84</v>
      </c>
      <c r="AJ675" s="34">
        <f>IF(AN675=0,I675,0)</f>
        <v>0</v>
      </c>
      <c r="AK675" s="34">
        <f>IF(AN675=12,I675,0)</f>
        <v>0</v>
      </c>
      <c r="AL675" s="34">
        <f>IF(AN675=21,I675,0)</f>
        <v>0</v>
      </c>
      <c r="AN675" s="34">
        <v>21</v>
      </c>
      <c r="AO675" s="34">
        <f>H675*1</f>
        <v>0</v>
      </c>
      <c r="AP675" s="34">
        <f>H675*(1-1)</f>
        <v>0</v>
      </c>
      <c r="AQ675" s="65" t="s">
        <v>175</v>
      </c>
      <c r="AV675" s="34">
        <f>ROUND(AW675+AX675,2)</f>
        <v>0</v>
      </c>
      <c r="AW675" s="34">
        <f>ROUND(G675*AO675,2)</f>
        <v>0</v>
      </c>
      <c r="AX675" s="34">
        <f>ROUND(G675*AP675,2)</f>
        <v>0</v>
      </c>
      <c r="AY675" s="65" t="s">
        <v>1275</v>
      </c>
      <c r="AZ675" s="65" t="s">
        <v>1103</v>
      </c>
      <c r="BA675" s="46" t="s">
        <v>136</v>
      </c>
      <c r="BC675" s="34">
        <f>AW675+AX675</f>
        <v>0</v>
      </c>
      <c r="BD675" s="34">
        <f>H675/(100-BE675)*100</f>
        <v>0</v>
      </c>
      <c r="BE675" s="34">
        <v>0</v>
      </c>
      <c r="BF675" s="34">
        <f>675</f>
        <v>675</v>
      </c>
      <c r="BH675" s="34">
        <f>G675*AO675</f>
        <v>0</v>
      </c>
      <c r="BI675" s="34">
        <f>G675*AP675</f>
        <v>0</v>
      </c>
      <c r="BJ675" s="34">
        <f>G675*H675</f>
        <v>0</v>
      </c>
      <c r="BK675" s="34"/>
      <c r="BL675" s="34">
        <v>766</v>
      </c>
      <c r="BW675" s="34">
        <v>21</v>
      </c>
      <c r="BX675" s="3" t="s">
        <v>1282</v>
      </c>
    </row>
    <row r="676" spans="1:76" x14ac:dyDescent="0.25">
      <c r="A676" s="66"/>
      <c r="D676" s="67" t="s">
        <v>148</v>
      </c>
      <c r="E676" s="67" t="s">
        <v>4</v>
      </c>
      <c r="G676" s="68">
        <v>3</v>
      </c>
      <c r="K676" s="59"/>
    </row>
    <row r="677" spans="1:76" x14ac:dyDescent="0.25">
      <c r="A677" s="1" t="s">
        <v>1283</v>
      </c>
      <c r="B677" s="2" t="s">
        <v>84</v>
      </c>
      <c r="C677" s="2" t="s">
        <v>1284</v>
      </c>
      <c r="D677" s="86" t="s">
        <v>1285</v>
      </c>
      <c r="E677" s="81"/>
      <c r="F677" s="2" t="s">
        <v>258</v>
      </c>
      <c r="G677" s="34">
        <v>4</v>
      </c>
      <c r="H677" s="64">
        <v>0</v>
      </c>
      <c r="I677" s="34">
        <f>ROUND(G677*H677,2)</f>
        <v>0</v>
      </c>
      <c r="J677" s="65" t="s">
        <v>398</v>
      </c>
      <c r="K677" s="59"/>
      <c r="Z677" s="34">
        <f>ROUND(IF(AQ677="5",BJ677,0),2)</f>
        <v>0</v>
      </c>
      <c r="AB677" s="34">
        <f>ROUND(IF(AQ677="1",BH677,0),2)</f>
        <v>0</v>
      </c>
      <c r="AC677" s="34">
        <f>ROUND(IF(AQ677="1",BI677,0),2)</f>
        <v>0</v>
      </c>
      <c r="AD677" s="34">
        <f>ROUND(IF(AQ677="7",BH677,0),2)</f>
        <v>0</v>
      </c>
      <c r="AE677" s="34">
        <f>ROUND(IF(AQ677="7",BI677,0),2)</f>
        <v>0</v>
      </c>
      <c r="AF677" s="34">
        <f>ROUND(IF(AQ677="2",BH677,0),2)</f>
        <v>0</v>
      </c>
      <c r="AG677" s="34">
        <f>ROUND(IF(AQ677="2",BI677,0),2)</f>
        <v>0</v>
      </c>
      <c r="AH677" s="34">
        <f>ROUND(IF(AQ677="0",BJ677,0),2)</f>
        <v>0</v>
      </c>
      <c r="AI677" s="46" t="s">
        <v>84</v>
      </c>
      <c r="AJ677" s="34">
        <f>IF(AN677=0,I677,0)</f>
        <v>0</v>
      </c>
      <c r="AK677" s="34">
        <f>IF(AN677=12,I677,0)</f>
        <v>0</v>
      </c>
      <c r="AL677" s="34">
        <f>IF(AN677=21,I677,0)</f>
        <v>0</v>
      </c>
      <c r="AN677" s="34">
        <v>21</v>
      </c>
      <c r="AO677" s="34">
        <f>H677*1</f>
        <v>0</v>
      </c>
      <c r="AP677" s="34">
        <f>H677*(1-1)</f>
        <v>0</v>
      </c>
      <c r="AQ677" s="65" t="s">
        <v>175</v>
      </c>
      <c r="AV677" s="34">
        <f>ROUND(AW677+AX677,2)</f>
        <v>0</v>
      </c>
      <c r="AW677" s="34">
        <f>ROUND(G677*AO677,2)</f>
        <v>0</v>
      </c>
      <c r="AX677" s="34">
        <f>ROUND(G677*AP677,2)</f>
        <v>0</v>
      </c>
      <c r="AY677" s="65" t="s">
        <v>1275</v>
      </c>
      <c r="AZ677" s="65" t="s">
        <v>1103</v>
      </c>
      <c r="BA677" s="46" t="s">
        <v>136</v>
      </c>
      <c r="BC677" s="34">
        <f>AW677+AX677</f>
        <v>0</v>
      </c>
      <c r="BD677" s="34">
        <f>H677/(100-BE677)*100</f>
        <v>0</v>
      </c>
      <c r="BE677" s="34">
        <v>0</v>
      </c>
      <c r="BF677" s="34">
        <f>677</f>
        <v>677</v>
      </c>
      <c r="BH677" s="34">
        <f>G677*AO677</f>
        <v>0</v>
      </c>
      <c r="BI677" s="34">
        <f>G677*AP677</f>
        <v>0</v>
      </c>
      <c r="BJ677" s="34">
        <f>G677*H677</f>
        <v>0</v>
      </c>
      <c r="BK677" s="34"/>
      <c r="BL677" s="34">
        <v>766</v>
      </c>
      <c r="BW677" s="34">
        <v>21</v>
      </c>
      <c r="BX677" s="3" t="s">
        <v>1285</v>
      </c>
    </row>
    <row r="678" spans="1:76" ht="13.5" customHeight="1" x14ac:dyDescent="0.25">
      <c r="A678" s="66"/>
      <c r="C678" s="69" t="s">
        <v>204</v>
      </c>
      <c r="D678" s="169" t="s">
        <v>1286</v>
      </c>
      <c r="E678" s="170"/>
      <c r="F678" s="170"/>
      <c r="G678" s="170"/>
      <c r="H678" s="171"/>
      <c r="I678" s="170"/>
      <c r="J678" s="170"/>
      <c r="K678" s="172"/>
    </row>
    <row r="679" spans="1:76" x14ac:dyDescent="0.25">
      <c r="A679" s="66"/>
      <c r="D679" s="67" t="s">
        <v>161</v>
      </c>
      <c r="E679" s="67" t="s">
        <v>4</v>
      </c>
      <c r="G679" s="68">
        <v>4</v>
      </c>
      <c r="K679" s="59"/>
    </row>
    <row r="680" spans="1:76" x14ac:dyDescent="0.25">
      <c r="A680" s="1" t="s">
        <v>1287</v>
      </c>
      <c r="B680" s="2" t="s">
        <v>84</v>
      </c>
      <c r="C680" s="2" t="s">
        <v>1288</v>
      </c>
      <c r="D680" s="86" t="s">
        <v>1289</v>
      </c>
      <c r="E680" s="81"/>
      <c r="F680" s="2" t="s">
        <v>258</v>
      </c>
      <c r="G680" s="34">
        <v>1</v>
      </c>
      <c r="H680" s="64">
        <v>0</v>
      </c>
      <c r="I680" s="34">
        <f>ROUND(G680*H680,2)</f>
        <v>0</v>
      </c>
      <c r="J680" s="65" t="s">
        <v>398</v>
      </c>
      <c r="K680" s="59"/>
      <c r="Z680" s="34">
        <f>ROUND(IF(AQ680="5",BJ680,0),2)</f>
        <v>0</v>
      </c>
      <c r="AB680" s="34">
        <f>ROUND(IF(AQ680="1",BH680,0),2)</f>
        <v>0</v>
      </c>
      <c r="AC680" s="34">
        <f>ROUND(IF(AQ680="1",BI680,0),2)</f>
        <v>0</v>
      </c>
      <c r="AD680" s="34">
        <f>ROUND(IF(AQ680="7",BH680,0),2)</f>
        <v>0</v>
      </c>
      <c r="AE680" s="34">
        <f>ROUND(IF(AQ680="7",BI680,0),2)</f>
        <v>0</v>
      </c>
      <c r="AF680" s="34">
        <f>ROUND(IF(AQ680="2",BH680,0),2)</f>
        <v>0</v>
      </c>
      <c r="AG680" s="34">
        <f>ROUND(IF(AQ680="2",BI680,0),2)</f>
        <v>0</v>
      </c>
      <c r="AH680" s="34">
        <f>ROUND(IF(AQ680="0",BJ680,0),2)</f>
        <v>0</v>
      </c>
      <c r="AI680" s="46" t="s">
        <v>84</v>
      </c>
      <c r="AJ680" s="34">
        <f>IF(AN680=0,I680,0)</f>
        <v>0</v>
      </c>
      <c r="AK680" s="34">
        <f>IF(AN680=12,I680,0)</f>
        <v>0</v>
      </c>
      <c r="AL680" s="34">
        <f>IF(AN680=21,I680,0)</f>
        <v>0</v>
      </c>
      <c r="AN680" s="34">
        <v>21</v>
      </c>
      <c r="AO680" s="34">
        <f>H680*1</f>
        <v>0</v>
      </c>
      <c r="AP680" s="34">
        <f>H680*(1-1)</f>
        <v>0</v>
      </c>
      <c r="AQ680" s="65" t="s">
        <v>175</v>
      </c>
      <c r="AV680" s="34">
        <f>ROUND(AW680+AX680,2)</f>
        <v>0</v>
      </c>
      <c r="AW680" s="34">
        <f>ROUND(G680*AO680,2)</f>
        <v>0</v>
      </c>
      <c r="AX680" s="34">
        <f>ROUND(G680*AP680,2)</f>
        <v>0</v>
      </c>
      <c r="AY680" s="65" t="s">
        <v>1275</v>
      </c>
      <c r="AZ680" s="65" t="s">
        <v>1103</v>
      </c>
      <c r="BA680" s="46" t="s">
        <v>136</v>
      </c>
      <c r="BC680" s="34">
        <f>AW680+AX680</f>
        <v>0</v>
      </c>
      <c r="BD680" s="34">
        <f>H680/(100-BE680)*100</f>
        <v>0</v>
      </c>
      <c r="BE680" s="34">
        <v>0</v>
      </c>
      <c r="BF680" s="34">
        <f>680</f>
        <v>680</v>
      </c>
      <c r="BH680" s="34">
        <f>G680*AO680</f>
        <v>0</v>
      </c>
      <c r="BI680" s="34">
        <f>G680*AP680</f>
        <v>0</v>
      </c>
      <c r="BJ680" s="34">
        <f>G680*H680</f>
        <v>0</v>
      </c>
      <c r="BK680" s="34"/>
      <c r="BL680" s="34">
        <v>766</v>
      </c>
      <c r="BW680" s="34">
        <v>21</v>
      </c>
      <c r="BX680" s="3" t="s">
        <v>1289</v>
      </c>
    </row>
    <row r="681" spans="1:76" ht="13.5" customHeight="1" x14ac:dyDescent="0.25">
      <c r="A681" s="66"/>
      <c r="C681" s="69" t="s">
        <v>204</v>
      </c>
      <c r="D681" s="169" t="s">
        <v>1286</v>
      </c>
      <c r="E681" s="170"/>
      <c r="F681" s="170"/>
      <c r="G681" s="170"/>
      <c r="H681" s="171"/>
      <c r="I681" s="170"/>
      <c r="J681" s="170"/>
      <c r="K681" s="172"/>
    </row>
    <row r="682" spans="1:76" x14ac:dyDescent="0.25">
      <c r="A682" s="66"/>
      <c r="D682" s="67" t="s">
        <v>129</v>
      </c>
      <c r="E682" s="67" t="s">
        <v>4</v>
      </c>
      <c r="G682" s="68">
        <v>1</v>
      </c>
      <c r="K682" s="59"/>
    </row>
    <row r="683" spans="1:76" x14ac:dyDescent="0.25">
      <c r="A683" s="1" t="s">
        <v>1290</v>
      </c>
      <c r="B683" s="2" t="s">
        <v>84</v>
      </c>
      <c r="C683" s="2" t="s">
        <v>1291</v>
      </c>
      <c r="D683" s="86" t="s">
        <v>1292</v>
      </c>
      <c r="E683" s="81"/>
      <c r="F683" s="2" t="s">
        <v>258</v>
      </c>
      <c r="G683" s="34">
        <v>1</v>
      </c>
      <c r="H683" s="64">
        <v>0</v>
      </c>
      <c r="I683" s="34">
        <f>ROUND(G683*H683,2)</f>
        <v>0</v>
      </c>
      <c r="J683" s="65" t="s">
        <v>398</v>
      </c>
      <c r="K683" s="59"/>
      <c r="Z683" s="34">
        <f>ROUND(IF(AQ683="5",BJ683,0),2)</f>
        <v>0</v>
      </c>
      <c r="AB683" s="34">
        <f>ROUND(IF(AQ683="1",BH683,0),2)</f>
        <v>0</v>
      </c>
      <c r="AC683" s="34">
        <f>ROUND(IF(AQ683="1",BI683,0),2)</f>
        <v>0</v>
      </c>
      <c r="AD683" s="34">
        <f>ROUND(IF(AQ683="7",BH683,0),2)</f>
        <v>0</v>
      </c>
      <c r="AE683" s="34">
        <f>ROUND(IF(AQ683="7",BI683,0),2)</f>
        <v>0</v>
      </c>
      <c r="AF683" s="34">
        <f>ROUND(IF(AQ683="2",BH683,0),2)</f>
        <v>0</v>
      </c>
      <c r="AG683" s="34">
        <f>ROUND(IF(AQ683="2",BI683,0),2)</f>
        <v>0</v>
      </c>
      <c r="AH683" s="34">
        <f>ROUND(IF(AQ683="0",BJ683,0),2)</f>
        <v>0</v>
      </c>
      <c r="AI683" s="46" t="s">
        <v>84</v>
      </c>
      <c r="AJ683" s="34">
        <f>IF(AN683=0,I683,0)</f>
        <v>0</v>
      </c>
      <c r="AK683" s="34">
        <f>IF(AN683=12,I683,0)</f>
        <v>0</v>
      </c>
      <c r="AL683" s="34">
        <f>IF(AN683=21,I683,0)</f>
        <v>0</v>
      </c>
      <c r="AN683" s="34">
        <v>21</v>
      </c>
      <c r="AO683" s="34">
        <f>H683*1</f>
        <v>0</v>
      </c>
      <c r="AP683" s="34">
        <f>H683*(1-1)</f>
        <v>0</v>
      </c>
      <c r="AQ683" s="65" t="s">
        <v>175</v>
      </c>
      <c r="AV683" s="34">
        <f>ROUND(AW683+AX683,2)</f>
        <v>0</v>
      </c>
      <c r="AW683" s="34">
        <f>ROUND(G683*AO683,2)</f>
        <v>0</v>
      </c>
      <c r="AX683" s="34">
        <f>ROUND(G683*AP683,2)</f>
        <v>0</v>
      </c>
      <c r="AY683" s="65" t="s">
        <v>1275</v>
      </c>
      <c r="AZ683" s="65" t="s">
        <v>1103</v>
      </c>
      <c r="BA683" s="46" t="s">
        <v>136</v>
      </c>
      <c r="BC683" s="34">
        <f>AW683+AX683</f>
        <v>0</v>
      </c>
      <c r="BD683" s="34">
        <f>H683/(100-BE683)*100</f>
        <v>0</v>
      </c>
      <c r="BE683" s="34">
        <v>0</v>
      </c>
      <c r="BF683" s="34">
        <f>683</f>
        <v>683</v>
      </c>
      <c r="BH683" s="34">
        <f>G683*AO683</f>
        <v>0</v>
      </c>
      <c r="BI683" s="34">
        <f>G683*AP683</f>
        <v>0</v>
      </c>
      <c r="BJ683" s="34">
        <f>G683*H683</f>
        <v>0</v>
      </c>
      <c r="BK683" s="34"/>
      <c r="BL683" s="34">
        <v>766</v>
      </c>
      <c r="BW683" s="34">
        <v>21</v>
      </c>
      <c r="BX683" s="3" t="s">
        <v>1292</v>
      </c>
    </row>
    <row r="684" spans="1:76" ht="13.5" customHeight="1" x14ac:dyDescent="0.25">
      <c r="A684" s="66"/>
      <c r="C684" s="69" t="s">
        <v>204</v>
      </c>
      <c r="D684" s="169" t="s">
        <v>1286</v>
      </c>
      <c r="E684" s="170"/>
      <c r="F684" s="170"/>
      <c r="G684" s="170"/>
      <c r="H684" s="171"/>
      <c r="I684" s="170"/>
      <c r="J684" s="170"/>
      <c r="K684" s="172"/>
    </row>
    <row r="685" spans="1:76" x14ac:dyDescent="0.25">
      <c r="A685" s="66"/>
      <c r="D685" s="67" t="s">
        <v>129</v>
      </c>
      <c r="E685" s="67" t="s">
        <v>4</v>
      </c>
      <c r="G685" s="68">
        <v>1</v>
      </c>
      <c r="K685" s="59"/>
    </row>
    <row r="686" spans="1:76" x14ac:dyDescent="0.25">
      <c r="A686" s="1" t="s">
        <v>1293</v>
      </c>
      <c r="B686" s="2" t="s">
        <v>84</v>
      </c>
      <c r="C686" s="2" t="s">
        <v>1294</v>
      </c>
      <c r="D686" s="86" t="s">
        <v>1295</v>
      </c>
      <c r="E686" s="81"/>
      <c r="F686" s="2" t="s">
        <v>258</v>
      </c>
      <c r="G686" s="34">
        <v>1</v>
      </c>
      <c r="H686" s="64">
        <v>0</v>
      </c>
      <c r="I686" s="34">
        <f>ROUND(G686*H686,2)</f>
        <v>0</v>
      </c>
      <c r="J686" s="65" t="s">
        <v>398</v>
      </c>
      <c r="K686" s="59"/>
      <c r="Z686" s="34">
        <f>ROUND(IF(AQ686="5",BJ686,0),2)</f>
        <v>0</v>
      </c>
      <c r="AB686" s="34">
        <f>ROUND(IF(AQ686="1",BH686,0),2)</f>
        <v>0</v>
      </c>
      <c r="AC686" s="34">
        <f>ROUND(IF(AQ686="1",BI686,0),2)</f>
        <v>0</v>
      </c>
      <c r="AD686" s="34">
        <f>ROUND(IF(AQ686="7",BH686,0),2)</f>
        <v>0</v>
      </c>
      <c r="AE686" s="34">
        <f>ROUND(IF(AQ686="7",BI686,0),2)</f>
        <v>0</v>
      </c>
      <c r="AF686" s="34">
        <f>ROUND(IF(AQ686="2",BH686,0),2)</f>
        <v>0</v>
      </c>
      <c r="AG686" s="34">
        <f>ROUND(IF(AQ686="2",BI686,0),2)</f>
        <v>0</v>
      </c>
      <c r="AH686" s="34">
        <f>ROUND(IF(AQ686="0",BJ686,0),2)</f>
        <v>0</v>
      </c>
      <c r="AI686" s="46" t="s">
        <v>84</v>
      </c>
      <c r="AJ686" s="34">
        <f>IF(AN686=0,I686,0)</f>
        <v>0</v>
      </c>
      <c r="AK686" s="34">
        <f>IF(AN686=12,I686,0)</f>
        <v>0</v>
      </c>
      <c r="AL686" s="34">
        <f>IF(AN686=21,I686,0)</f>
        <v>0</v>
      </c>
      <c r="AN686" s="34">
        <v>21</v>
      </c>
      <c r="AO686" s="34">
        <f>H686*1</f>
        <v>0</v>
      </c>
      <c r="AP686" s="34">
        <f>H686*(1-1)</f>
        <v>0</v>
      </c>
      <c r="AQ686" s="65" t="s">
        <v>175</v>
      </c>
      <c r="AV686" s="34">
        <f>ROUND(AW686+AX686,2)</f>
        <v>0</v>
      </c>
      <c r="AW686" s="34">
        <f>ROUND(G686*AO686,2)</f>
        <v>0</v>
      </c>
      <c r="AX686" s="34">
        <f>ROUND(G686*AP686,2)</f>
        <v>0</v>
      </c>
      <c r="AY686" s="65" t="s">
        <v>1275</v>
      </c>
      <c r="AZ686" s="65" t="s">
        <v>1103</v>
      </c>
      <c r="BA686" s="46" t="s">
        <v>136</v>
      </c>
      <c r="BC686" s="34">
        <f>AW686+AX686</f>
        <v>0</v>
      </c>
      <c r="BD686" s="34">
        <f>H686/(100-BE686)*100</f>
        <v>0</v>
      </c>
      <c r="BE686" s="34">
        <v>0</v>
      </c>
      <c r="BF686" s="34">
        <f>686</f>
        <v>686</v>
      </c>
      <c r="BH686" s="34">
        <f>G686*AO686</f>
        <v>0</v>
      </c>
      <c r="BI686" s="34">
        <f>G686*AP686</f>
        <v>0</v>
      </c>
      <c r="BJ686" s="34">
        <f>G686*H686</f>
        <v>0</v>
      </c>
      <c r="BK686" s="34"/>
      <c r="BL686" s="34">
        <v>766</v>
      </c>
      <c r="BW686" s="34">
        <v>21</v>
      </c>
      <c r="BX686" s="3" t="s">
        <v>1295</v>
      </c>
    </row>
    <row r="687" spans="1:76" ht="13.5" customHeight="1" x14ac:dyDescent="0.25">
      <c r="A687" s="66"/>
      <c r="C687" s="69" t="s">
        <v>204</v>
      </c>
      <c r="D687" s="169" t="s">
        <v>1286</v>
      </c>
      <c r="E687" s="170"/>
      <c r="F687" s="170"/>
      <c r="G687" s="170"/>
      <c r="H687" s="171"/>
      <c r="I687" s="170"/>
      <c r="J687" s="170"/>
      <c r="K687" s="172"/>
    </row>
    <row r="688" spans="1:76" x14ac:dyDescent="0.25">
      <c r="A688" s="66"/>
      <c r="D688" s="67" t="s">
        <v>129</v>
      </c>
      <c r="E688" s="67" t="s">
        <v>4</v>
      </c>
      <c r="G688" s="68">
        <v>1</v>
      </c>
      <c r="K688" s="59"/>
    </row>
    <row r="689" spans="1:76" x14ac:dyDescent="0.25">
      <c r="A689" s="1" t="s">
        <v>1296</v>
      </c>
      <c r="B689" s="2" t="s">
        <v>84</v>
      </c>
      <c r="C689" s="2" t="s">
        <v>1297</v>
      </c>
      <c r="D689" s="86" t="s">
        <v>1298</v>
      </c>
      <c r="E689" s="81"/>
      <c r="F689" s="2" t="s">
        <v>258</v>
      </c>
      <c r="G689" s="34">
        <v>1</v>
      </c>
      <c r="H689" s="64">
        <v>0</v>
      </c>
      <c r="I689" s="34">
        <f>ROUND(G689*H689,2)</f>
        <v>0</v>
      </c>
      <c r="J689" s="65" t="s">
        <v>398</v>
      </c>
      <c r="K689" s="59"/>
      <c r="Z689" s="34">
        <f>ROUND(IF(AQ689="5",BJ689,0),2)</f>
        <v>0</v>
      </c>
      <c r="AB689" s="34">
        <f>ROUND(IF(AQ689="1",BH689,0),2)</f>
        <v>0</v>
      </c>
      <c r="AC689" s="34">
        <f>ROUND(IF(AQ689="1",BI689,0),2)</f>
        <v>0</v>
      </c>
      <c r="AD689" s="34">
        <f>ROUND(IF(AQ689="7",BH689,0),2)</f>
        <v>0</v>
      </c>
      <c r="AE689" s="34">
        <f>ROUND(IF(AQ689="7",BI689,0),2)</f>
        <v>0</v>
      </c>
      <c r="AF689" s="34">
        <f>ROUND(IF(AQ689="2",BH689,0),2)</f>
        <v>0</v>
      </c>
      <c r="AG689" s="34">
        <f>ROUND(IF(AQ689="2",BI689,0),2)</f>
        <v>0</v>
      </c>
      <c r="AH689" s="34">
        <f>ROUND(IF(AQ689="0",BJ689,0),2)</f>
        <v>0</v>
      </c>
      <c r="AI689" s="46" t="s">
        <v>84</v>
      </c>
      <c r="AJ689" s="34">
        <f>IF(AN689=0,I689,0)</f>
        <v>0</v>
      </c>
      <c r="AK689" s="34">
        <f>IF(AN689=12,I689,0)</f>
        <v>0</v>
      </c>
      <c r="AL689" s="34">
        <f>IF(AN689=21,I689,0)</f>
        <v>0</v>
      </c>
      <c r="AN689" s="34">
        <v>21</v>
      </c>
      <c r="AO689" s="34">
        <f>H689*1</f>
        <v>0</v>
      </c>
      <c r="AP689" s="34">
        <f>H689*(1-1)</f>
        <v>0</v>
      </c>
      <c r="AQ689" s="65" t="s">
        <v>175</v>
      </c>
      <c r="AV689" s="34">
        <f>ROUND(AW689+AX689,2)</f>
        <v>0</v>
      </c>
      <c r="AW689" s="34">
        <f>ROUND(G689*AO689,2)</f>
        <v>0</v>
      </c>
      <c r="AX689" s="34">
        <f>ROUND(G689*AP689,2)</f>
        <v>0</v>
      </c>
      <c r="AY689" s="65" t="s">
        <v>1275</v>
      </c>
      <c r="AZ689" s="65" t="s">
        <v>1103</v>
      </c>
      <c r="BA689" s="46" t="s">
        <v>136</v>
      </c>
      <c r="BC689" s="34">
        <f>AW689+AX689</f>
        <v>0</v>
      </c>
      <c r="BD689" s="34">
        <f>H689/(100-BE689)*100</f>
        <v>0</v>
      </c>
      <c r="BE689" s="34">
        <v>0</v>
      </c>
      <c r="BF689" s="34">
        <f>689</f>
        <v>689</v>
      </c>
      <c r="BH689" s="34">
        <f>G689*AO689</f>
        <v>0</v>
      </c>
      <c r="BI689" s="34">
        <f>G689*AP689</f>
        <v>0</v>
      </c>
      <c r="BJ689" s="34">
        <f>G689*H689</f>
        <v>0</v>
      </c>
      <c r="BK689" s="34"/>
      <c r="BL689" s="34">
        <v>766</v>
      </c>
      <c r="BW689" s="34">
        <v>21</v>
      </c>
      <c r="BX689" s="3" t="s">
        <v>1298</v>
      </c>
    </row>
    <row r="690" spans="1:76" ht="13.5" customHeight="1" x14ac:dyDescent="0.25">
      <c r="A690" s="66"/>
      <c r="C690" s="69" t="s">
        <v>204</v>
      </c>
      <c r="D690" s="169" t="s">
        <v>1286</v>
      </c>
      <c r="E690" s="170"/>
      <c r="F690" s="170"/>
      <c r="G690" s="170"/>
      <c r="H690" s="171"/>
      <c r="I690" s="170"/>
      <c r="J690" s="170"/>
      <c r="K690" s="172"/>
    </row>
    <row r="691" spans="1:76" x14ac:dyDescent="0.25">
      <c r="A691" s="66"/>
      <c r="D691" s="67" t="s">
        <v>129</v>
      </c>
      <c r="E691" s="67" t="s">
        <v>4</v>
      </c>
      <c r="G691" s="68">
        <v>1</v>
      </c>
      <c r="K691" s="59"/>
    </row>
    <row r="692" spans="1:76" x14ac:dyDescent="0.25">
      <c r="A692" s="1" t="s">
        <v>1299</v>
      </c>
      <c r="B692" s="2" t="s">
        <v>84</v>
      </c>
      <c r="C692" s="2" t="s">
        <v>1300</v>
      </c>
      <c r="D692" s="86" t="s">
        <v>1301</v>
      </c>
      <c r="E692" s="81"/>
      <c r="F692" s="2" t="s">
        <v>258</v>
      </c>
      <c r="G692" s="34">
        <v>2</v>
      </c>
      <c r="H692" s="64">
        <v>0</v>
      </c>
      <c r="I692" s="34">
        <f>ROUND(G692*H692,2)</f>
        <v>0</v>
      </c>
      <c r="J692" s="65" t="s">
        <v>398</v>
      </c>
      <c r="K692" s="59"/>
      <c r="Z692" s="34">
        <f>ROUND(IF(AQ692="5",BJ692,0),2)</f>
        <v>0</v>
      </c>
      <c r="AB692" s="34">
        <f>ROUND(IF(AQ692="1",BH692,0),2)</f>
        <v>0</v>
      </c>
      <c r="AC692" s="34">
        <f>ROUND(IF(AQ692="1",BI692,0),2)</f>
        <v>0</v>
      </c>
      <c r="AD692" s="34">
        <f>ROUND(IF(AQ692="7",BH692,0),2)</f>
        <v>0</v>
      </c>
      <c r="AE692" s="34">
        <f>ROUND(IF(AQ692="7",BI692,0),2)</f>
        <v>0</v>
      </c>
      <c r="AF692" s="34">
        <f>ROUND(IF(AQ692="2",BH692,0),2)</f>
        <v>0</v>
      </c>
      <c r="AG692" s="34">
        <f>ROUND(IF(AQ692="2",BI692,0),2)</f>
        <v>0</v>
      </c>
      <c r="AH692" s="34">
        <f>ROUND(IF(AQ692="0",BJ692,0),2)</f>
        <v>0</v>
      </c>
      <c r="AI692" s="46" t="s">
        <v>84</v>
      </c>
      <c r="AJ692" s="34">
        <f>IF(AN692=0,I692,0)</f>
        <v>0</v>
      </c>
      <c r="AK692" s="34">
        <f>IF(AN692=12,I692,0)</f>
        <v>0</v>
      </c>
      <c r="AL692" s="34">
        <f>IF(AN692=21,I692,0)</f>
        <v>0</v>
      </c>
      <c r="AN692" s="34">
        <v>21</v>
      </c>
      <c r="AO692" s="34">
        <f>H692*1</f>
        <v>0</v>
      </c>
      <c r="AP692" s="34">
        <f>H692*(1-1)</f>
        <v>0</v>
      </c>
      <c r="AQ692" s="65" t="s">
        <v>175</v>
      </c>
      <c r="AV692" s="34">
        <f>ROUND(AW692+AX692,2)</f>
        <v>0</v>
      </c>
      <c r="AW692" s="34">
        <f>ROUND(G692*AO692,2)</f>
        <v>0</v>
      </c>
      <c r="AX692" s="34">
        <f>ROUND(G692*AP692,2)</f>
        <v>0</v>
      </c>
      <c r="AY692" s="65" t="s">
        <v>1275</v>
      </c>
      <c r="AZ692" s="65" t="s">
        <v>1103</v>
      </c>
      <c r="BA692" s="46" t="s">
        <v>136</v>
      </c>
      <c r="BC692" s="34">
        <f>AW692+AX692</f>
        <v>0</v>
      </c>
      <c r="BD692" s="34">
        <f>H692/(100-BE692)*100</f>
        <v>0</v>
      </c>
      <c r="BE692" s="34">
        <v>0</v>
      </c>
      <c r="BF692" s="34">
        <f>692</f>
        <v>692</v>
      </c>
      <c r="BH692" s="34">
        <f>G692*AO692</f>
        <v>0</v>
      </c>
      <c r="BI692" s="34">
        <f>G692*AP692</f>
        <v>0</v>
      </c>
      <c r="BJ692" s="34">
        <f>G692*H692</f>
        <v>0</v>
      </c>
      <c r="BK692" s="34"/>
      <c r="BL692" s="34">
        <v>766</v>
      </c>
      <c r="BW692" s="34">
        <v>21</v>
      </c>
      <c r="BX692" s="3" t="s">
        <v>1301</v>
      </c>
    </row>
    <row r="693" spans="1:76" ht="13.5" customHeight="1" x14ac:dyDescent="0.25">
      <c r="A693" s="66"/>
      <c r="C693" s="69" t="s">
        <v>204</v>
      </c>
      <c r="D693" s="169" t="s">
        <v>1286</v>
      </c>
      <c r="E693" s="170"/>
      <c r="F693" s="170"/>
      <c r="G693" s="170"/>
      <c r="H693" s="171"/>
      <c r="I693" s="170"/>
      <c r="J693" s="170"/>
      <c r="K693" s="172"/>
    </row>
    <row r="694" spans="1:76" x14ac:dyDescent="0.25">
      <c r="A694" s="66"/>
      <c r="D694" s="67" t="s">
        <v>140</v>
      </c>
      <c r="E694" s="67" t="s">
        <v>4</v>
      </c>
      <c r="G694" s="68">
        <v>2</v>
      </c>
      <c r="K694" s="59"/>
    </row>
    <row r="695" spans="1:76" x14ac:dyDescent="0.25">
      <c r="A695" s="1" t="s">
        <v>1302</v>
      </c>
      <c r="B695" s="2" t="s">
        <v>84</v>
      </c>
      <c r="C695" s="2" t="s">
        <v>1303</v>
      </c>
      <c r="D695" s="86" t="s">
        <v>1304</v>
      </c>
      <c r="E695" s="81"/>
      <c r="F695" s="2" t="s">
        <v>258</v>
      </c>
      <c r="G695" s="34">
        <v>1</v>
      </c>
      <c r="H695" s="64">
        <v>0</v>
      </c>
      <c r="I695" s="34">
        <f>ROUND(G695*H695,2)</f>
        <v>0</v>
      </c>
      <c r="J695" s="65" t="s">
        <v>398</v>
      </c>
      <c r="K695" s="59"/>
      <c r="Z695" s="34">
        <f>ROUND(IF(AQ695="5",BJ695,0),2)</f>
        <v>0</v>
      </c>
      <c r="AB695" s="34">
        <f>ROUND(IF(AQ695="1",BH695,0),2)</f>
        <v>0</v>
      </c>
      <c r="AC695" s="34">
        <f>ROUND(IF(AQ695="1",BI695,0),2)</f>
        <v>0</v>
      </c>
      <c r="AD695" s="34">
        <f>ROUND(IF(AQ695="7",BH695,0),2)</f>
        <v>0</v>
      </c>
      <c r="AE695" s="34">
        <f>ROUND(IF(AQ695="7",BI695,0),2)</f>
        <v>0</v>
      </c>
      <c r="AF695" s="34">
        <f>ROUND(IF(AQ695="2",BH695,0),2)</f>
        <v>0</v>
      </c>
      <c r="AG695" s="34">
        <f>ROUND(IF(AQ695="2",BI695,0),2)</f>
        <v>0</v>
      </c>
      <c r="AH695" s="34">
        <f>ROUND(IF(AQ695="0",BJ695,0),2)</f>
        <v>0</v>
      </c>
      <c r="AI695" s="46" t="s">
        <v>84</v>
      </c>
      <c r="AJ695" s="34">
        <f>IF(AN695=0,I695,0)</f>
        <v>0</v>
      </c>
      <c r="AK695" s="34">
        <f>IF(AN695=12,I695,0)</f>
        <v>0</v>
      </c>
      <c r="AL695" s="34">
        <f>IF(AN695=21,I695,0)</f>
        <v>0</v>
      </c>
      <c r="AN695" s="34">
        <v>21</v>
      </c>
      <c r="AO695" s="34">
        <f>H695*1</f>
        <v>0</v>
      </c>
      <c r="AP695" s="34">
        <f>H695*(1-1)</f>
        <v>0</v>
      </c>
      <c r="AQ695" s="65" t="s">
        <v>175</v>
      </c>
      <c r="AV695" s="34">
        <f>ROUND(AW695+AX695,2)</f>
        <v>0</v>
      </c>
      <c r="AW695" s="34">
        <f>ROUND(G695*AO695,2)</f>
        <v>0</v>
      </c>
      <c r="AX695" s="34">
        <f>ROUND(G695*AP695,2)</f>
        <v>0</v>
      </c>
      <c r="AY695" s="65" t="s">
        <v>1275</v>
      </c>
      <c r="AZ695" s="65" t="s">
        <v>1103</v>
      </c>
      <c r="BA695" s="46" t="s">
        <v>136</v>
      </c>
      <c r="BC695" s="34">
        <f>AW695+AX695</f>
        <v>0</v>
      </c>
      <c r="BD695" s="34">
        <f>H695/(100-BE695)*100</f>
        <v>0</v>
      </c>
      <c r="BE695" s="34">
        <v>0</v>
      </c>
      <c r="BF695" s="34">
        <f>695</f>
        <v>695</v>
      </c>
      <c r="BH695" s="34">
        <f>G695*AO695</f>
        <v>0</v>
      </c>
      <c r="BI695" s="34">
        <f>G695*AP695</f>
        <v>0</v>
      </c>
      <c r="BJ695" s="34">
        <f>G695*H695</f>
        <v>0</v>
      </c>
      <c r="BK695" s="34"/>
      <c r="BL695" s="34">
        <v>766</v>
      </c>
      <c r="BW695" s="34">
        <v>21</v>
      </c>
      <c r="BX695" s="3" t="s">
        <v>1304</v>
      </c>
    </row>
    <row r="696" spans="1:76" ht="13.5" customHeight="1" x14ac:dyDescent="0.25">
      <c r="A696" s="66"/>
      <c r="C696" s="69" t="s">
        <v>204</v>
      </c>
      <c r="D696" s="169" t="s">
        <v>1286</v>
      </c>
      <c r="E696" s="170"/>
      <c r="F696" s="170"/>
      <c r="G696" s="170"/>
      <c r="H696" s="171"/>
      <c r="I696" s="170"/>
      <c r="J696" s="170"/>
      <c r="K696" s="172"/>
    </row>
    <row r="697" spans="1:76" x14ac:dyDescent="0.25">
      <c r="A697" s="66"/>
      <c r="D697" s="67" t="s">
        <v>129</v>
      </c>
      <c r="E697" s="67" t="s">
        <v>4</v>
      </c>
      <c r="G697" s="68">
        <v>1</v>
      </c>
      <c r="K697" s="59"/>
    </row>
    <row r="698" spans="1:76" x14ac:dyDescent="0.25">
      <c r="A698" s="1" t="s">
        <v>1305</v>
      </c>
      <c r="B698" s="2" t="s">
        <v>84</v>
      </c>
      <c r="C698" s="2" t="s">
        <v>1306</v>
      </c>
      <c r="D698" s="86" t="s">
        <v>1307</v>
      </c>
      <c r="E698" s="81"/>
      <c r="F698" s="2" t="s">
        <v>258</v>
      </c>
      <c r="G698" s="34">
        <v>1</v>
      </c>
      <c r="H698" s="64">
        <v>0</v>
      </c>
      <c r="I698" s="34">
        <f>ROUND(G698*H698,2)</f>
        <v>0</v>
      </c>
      <c r="J698" s="65" t="s">
        <v>398</v>
      </c>
      <c r="K698" s="59"/>
      <c r="Z698" s="34">
        <f>ROUND(IF(AQ698="5",BJ698,0),2)</f>
        <v>0</v>
      </c>
      <c r="AB698" s="34">
        <f>ROUND(IF(AQ698="1",BH698,0),2)</f>
        <v>0</v>
      </c>
      <c r="AC698" s="34">
        <f>ROUND(IF(AQ698="1",BI698,0),2)</f>
        <v>0</v>
      </c>
      <c r="AD698" s="34">
        <f>ROUND(IF(AQ698="7",BH698,0),2)</f>
        <v>0</v>
      </c>
      <c r="AE698" s="34">
        <f>ROUND(IF(AQ698="7",BI698,0),2)</f>
        <v>0</v>
      </c>
      <c r="AF698" s="34">
        <f>ROUND(IF(AQ698="2",BH698,0),2)</f>
        <v>0</v>
      </c>
      <c r="AG698" s="34">
        <f>ROUND(IF(AQ698="2",BI698,0),2)</f>
        <v>0</v>
      </c>
      <c r="AH698" s="34">
        <f>ROUND(IF(AQ698="0",BJ698,0),2)</f>
        <v>0</v>
      </c>
      <c r="AI698" s="46" t="s">
        <v>84</v>
      </c>
      <c r="AJ698" s="34">
        <f>IF(AN698=0,I698,0)</f>
        <v>0</v>
      </c>
      <c r="AK698" s="34">
        <f>IF(AN698=12,I698,0)</f>
        <v>0</v>
      </c>
      <c r="AL698" s="34">
        <f>IF(AN698=21,I698,0)</f>
        <v>0</v>
      </c>
      <c r="AN698" s="34">
        <v>21</v>
      </c>
      <c r="AO698" s="34">
        <f>H698*1</f>
        <v>0</v>
      </c>
      <c r="AP698" s="34">
        <f>H698*(1-1)</f>
        <v>0</v>
      </c>
      <c r="AQ698" s="65" t="s">
        <v>175</v>
      </c>
      <c r="AV698" s="34">
        <f>ROUND(AW698+AX698,2)</f>
        <v>0</v>
      </c>
      <c r="AW698" s="34">
        <f>ROUND(G698*AO698,2)</f>
        <v>0</v>
      </c>
      <c r="AX698" s="34">
        <f>ROUND(G698*AP698,2)</f>
        <v>0</v>
      </c>
      <c r="AY698" s="65" t="s">
        <v>1275</v>
      </c>
      <c r="AZ698" s="65" t="s">
        <v>1103</v>
      </c>
      <c r="BA698" s="46" t="s">
        <v>136</v>
      </c>
      <c r="BC698" s="34">
        <f>AW698+AX698</f>
        <v>0</v>
      </c>
      <c r="BD698" s="34">
        <f>H698/(100-BE698)*100</f>
        <v>0</v>
      </c>
      <c r="BE698" s="34">
        <v>0</v>
      </c>
      <c r="BF698" s="34">
        <f>698</f>
        <v>698</v>
      </c>
      <c r="BH698" s="34">
        <f>G698*AO698</f>
        <v>0</v>
      </c>
      <c r="BI698" s="34">
        <f>G698*AP698</f>
        <v>0</v>
      </c>
      <c r="BJ698" s="34">
        <f>G698*H698</f>
        <v>0</v>
      </c>
      <c r="BK698" s="34"/>
      <c r="BL698" s="34">
        <v>766</v>
      </c>
      <c r="BW698" s="34">
        <v>21</v>
      </c>
      <c r="BX698" s="3" t="s">
        <v>1307</v>
      </c>
    </row>
    <row r="699" spans="1:76" ht="13.5" customHeight="1" x14ac:dyDescent="0.25">
      <c r="A699" s="66"/>
      <c r="C699" s="69" t="s">
        <v>204</v>
      </c>
      <c r="D699" s="169" t="s">
        <v>1286</v>
      </c>
      <c r="E699" s="170"/>
      <c r="F699" s="170"/>
      <c r="G699" s="170"/>
      <c r="H699" s="171"/>
      <c r="I699" s="170"/>
      <c r="J699" s="170"/>
      <c r="K699" s="172"/>
    </row>
    <row r="700" spans="1:76" x14ac:dyDescent="0.25">
      <c r="A700" s="66"/>
      <c r="D700" s="67" t="s">
        <v>129</v>
      </c>
      <c r="E700" s="67" t="s">
        <v>4</v>
      </c>
      <c r="G700" s="68">
        <v>1</v>
      </c>
      <c r="K700" s="59"/>
    </row>
    <row r="701" spans="1:76" x14ac:dyDescent="0.25">
      <c r="A701" s="1" t="s">
        <v>1308</v>
      </c>
      <c r="B701" s="2" t="s">
        <v>84</v>
      </c>
      <c r="C701" s="2" t="s">
        <v>1309</v>
      </c>
      <c r="D701" s="86" t="s">
        <v>1310</v>
      </c>
      <c r="E701" s="81"/>
      <c r="F701" s="2" t="s">
        <v>258</v>
      </c>
      <c r="G701" s="34">
        <v>18</v>
      </c>
      <c r="H701" s="64">
        <v>0</v>
      </c>
      <c r="I701" s="34">
        <f>ROUND(G701*H701,2)</f>
        <v>0</v>
      </c>
      <c r="J701" s="65" t="s">
        <v>398</v>
      </c>
      <c r="K701" s="59"/>
      <c r="Z701" s="34">
        <f>ROUND(IF(AQ701="5",BJ701,0),2)</f>
        <v>0</v>
      </c>
      <c r="AB701" s="34">
        <f>ROUND(IF(AQ701="1",BH701,0),2)</f>
        <v>0</v>
      </c>
      <c r="AC701" s="34">
        <f>ROUND(IF(AQ701="1",BI701,0),2)</f>
        <v>0</v>
      </c>
      <c r="AD701" s="34">
        <f>ROUND(IF(AQ701="7",BH701,0),2)</f>
        <v>0</v>
      </c>
      <c r="AE701" s="34">
        <f>ROUND(IF(AQ701="7",BI701,0),2)</f>
        <v>0</v>
      </c>
      <c r="AF701" s="34">
        <f>ROUND(IF(AQ701="2",BH701,0),2)</f>
        <v>0</v>
      </c>
      <c r="AG701" s="34">
        <f>ROUND(IF(AQ701="2",BI701,0),2)</f>
        <v>0</v>
      </c>
      <c r="AH701" s="34">
        <f>ROUND(IF(AQ701="0",BJ701,0),2)</f>
        <v>0</v>
      </c>
      <c r="AI701" s="46" t="s">
        <v>84</v>
      </c>
      <c r="AJ701" s="34">
        <f>IF(AN701=0,I701,0)</f>
        <v>0</v>
      </c>
      <c r="AK701" s="34">
        <f>IF(AN701=12,I701,0)</f>
        <v>0</v>
      </c>
      <c r="AL701" s="34">
        <f>IF(AN701=21,I701,0)</f>
        <v>0</v>
      </c>
      <c r="AN701" s="34">
        <v>21</v>
      </c>
      <c r="AO701" s="34">
        <f>H701*1</f>
        <v>0</v>
      </c>
      <c r="AP701" s="34">
        <f>H701*(1-1)</f>
        <v>0</v>
      </c>
      <c r="AQ701" s="65" t="s">
        <v>175</v>
      </c>
      <c r="AV701" s="34">
        <f>ROUND(AW701+AX701,2)</f>
        <v>0</v>
      </c>
      <c r="AW701" s="34">
        <f>ROUND(G701*AO701,2)</f>
        <v>0</v>
      </c>
      <c r="AX701" s="34">
        <f>ROUND(G701*AP701,2)</f>
        <v>0</v>
      </c>
      <c r="AY701" s="65" t="s">
        <v>1275</v>
      </c>
      <c r="AZ701" s="65" t="s">
        <v>1103</v>
      </c>
      <c r="BA701" s="46" t="s">
        <v>136</v>
      </c>
      <c r="BC701" s="34">
        <f>AW701+AX701</f>
        <v>0</v>
      </c>
      <c r="BD701" s="34">
        <f>H701/(100-BE701)*100</f>
        <v>0</v>
      </c>
      <c r="BE701" s="34">
        <v>0</v>
      </c>
      <c r="BF701" s="34">
        <f>701</f>
        <v>701</v>
      </c>
      <c r="BH701" s="34">
        <f>G701*AO701</f>
        <v>0</v>
      </c>
      <c r="BI701" s="34">
        <f>G701*AP701</f>
        <v>0</v>
      </c>
      <c r="BJ701" s="34">
        <f>G701*H701</f>
        <v>0</v>
      </c>
      <c r="BK701" s="34"/>
      <c r="BL701" s="34">
        <v>766</v>
      </c>
      <c r="BW701" s="34">
        <v>21</v>
      </c>
      <c r="BX701" s="3" t="s">
        <v>1310</v>
      </c>
    </row>
    <row r="702" spans="1:76" ht="13.5" customHeight="1" x14ac:dyDescent="0.25">
      <c r="A702" s="66"/>
      <c r="C702" s="69" t="s">
        <v>204</v>
      </c>
      <c r="D702" s="169" t="s">
        <v>1286</v>
      </c>
      <c r="E702" s="170"/>
      <c r="F702" s="170"/>
      <c r="G702" s="170"/>
      <c r="H702" s="171"/>
      <c r="I702" s="170"/>
      <c r="J702" s="170"/>
      <c r="K702" s="172"/>
    </row>
    <row r="703" spans="1:76" x14ac:dyDescent="0.25">
      <c r="A703" s="66"/>
      <c r="D703" s="67" t="s">
        <v>267</v>
      </c>
      <c r="E703" s="67" t="s">
        <v>4</v>
      </c>
      <c r="G703" s="68">
        <v>18</v>
      </c>
      <c r="K703" s="59"/>
    </row>
    <row r="704" spans="1:76" x14ac:dyDescent="0.25">
      <c r="A704" s="1" t="s">
        <v>1311</v>
      </c>
      <c r="B704" s="2" t="s">
        <v>84</v>
      </c>
      <c r="C704" s="2" t="s">
        <v>1312</v>
      </c>
      <c r="D704" s="86" t="s">
        <v>1313</v>
      </c>
      <c r="E704" s="81"/>
      <c r="F704" s="2" t="s">
        <v>258</v>
      </c>
      <c r="G704" s="34">
        <v>6</v>
      </c>
      <c r="H704" s="64">
        <v>0</v>
      </c>
      <c r="I704" s="34">
        <f>ROUND(G704*H704,2)</f>
        <v>0</v>
      </c>
      <c r="J704" s="65" t="s">
        <v>398</v>
      </c>
      <c r="K704" s="59"/>
      <c r="Z704" s="34">
        <f>ROUND(IF(AQ704="5",BJ704,0),2)</f>
        <v>0</v>
      </c>
      <c r="AB704" s="34">
        <f>ROUND(IF(AQ704="1",BH704,0),2)</f>
        <v>0</v>
      </c>
      <c r="AC704" s="34">
        <f>ROUND(IF(AQ704="1",BI704,0),2)</f>
        <v>0</v>
      </c>
      <c r="AD704" s="34">
        <f>ROUND(IF(AQ704="7",BH704,0),2)</f>
        <v>0</v>
      </c>
      <c r="AE704" s="34">
        <f>ROUND(IF(AQ704="7",BI704,0),2)</f>
        <v>0</v>
      </c>
      <c r="AF704" s="34">
        <f>ROUND(IF(AQ704="2",BH704,0),2)</f>
        <v>0</v>
      </c>
      <c r="AG704" s="34">
        <f>ROUND(IF(AQ704="2",BI704,0),2)</f>
        <v>0</v>
      </c>
      <c r="AH704" s="34">
        <f>ROUND(IF(AQ704="0",BJ704,0),2)</f>
        <v>0</v>
      </c>
      <c r="AI704" s="46" t="s">
        <v>84</v>
      </c>
      <c r="AJ704" s="34">
        <f>IF(AN704=0,I704,0)</f>
        <v>0</v>
      </c>
      <c r="AK704" s="34">
        <f>IF(AN704=12,I704,0)</f>
        <v>0</v>
      </c>
      <c r="AL704" s="34">
        <f>IF(AN704=21,I704,0)</f>
        <v>0</v>
      </c>
      <c r="AN704" s="34">
        <v>21</v>
      </c>
      <c r="AO704" s="34">
        <f>H704*1</f>
        <v>0</v>
      </c>
      <c r="AP704" s="34">
        <f>H704*(1-1)</f>
        <v>0</v>
      </c>
      <c r="AQ704" s="65" t="s">
        <v>175</v>
      </c>
      <c r="AV704" s="34">
        <f>ROUND(AW704+AX704,2)</f>
        <v>0</v>
      </c>
      <c r="AW704" s="34">
        <f>ROUND(G704*AO704,2)</f>
        <v>0</v>
      </c>
      <c r="AX704" s="34">
        <f>ROUND(G704*AP704,2)</f>
        <v>0</v>
      </c>
      <c r="AY704" s="65" t="s">
        <v>1275</v>
      </c>
      <c r="AZ704" s="65" t="s">
        <v>1103</v>
      </c>
      <c r="BA704" s="46" t="s">
        <v>136</v>
      </c>
      <c r="BC704" s="34">
        <f>AW704+AX704</f>
        <v>0</v>
      </c>
      <c r="BD704" s="34">
        <f>H704/(100-BE704)*100</f>
        <v>0</v>
      </c>
      <c r="BE704" s="34">
        <v>0</v>
      </c>
      <c r="BF704" s="34">
        <f>704</f>
        <v>704</v>
      </c>
      <c r="BH704" s="34">
        <f>G704*AO704</f>
        <v>0</v>
      </c>
      <c r="BI704" s="34">
        <f>G704*AP704</f>
        <v>0</v>
      </c>
      <c r="BJ704" s="34">
        <f>G704*H704</f>
        <v>0</v>
      </c>
      <c r="BK704" s="34"/>
      <c r="BL704" s="34">
        <v>766</v>
      </c>
      <c r="BW704" s="34">
        <v>21</v>
      </c>
      <c r="BX704" s="3" t="s">
        <v>1313</v>
      </c>
    </row>
    <row r="705" spans="1:76" ht="13.5" customHeight="1" x14ac:dyDescent="0.25">
      <c r="A705" s="66"/>
      <c r="C705" s="69" t="s">
        <v>204</v>
      </c>
      <c r="D705" s="169" t="s">
        <v>1286</v>
      </c>
      <c r="E705" s="170"/>
      <c r="F705" s="170"/>
      <c r="G705" s="170"/>
      <c r="H705" s="171"/>
      <c r="I705" s="170"/>
      <c r="J705" s="170"/>
      <c r="K705" s="172"/>
    </row>
    <row r="706" spans="1:76" x14ac:dyDescent="0.25">
      <c r="A706" s="66"/>
      <c r="D706" s="67" t="s">
        <v>171</v>
      </c>
      <c r="E706" s="67" t="s">
        <v>4</v>
      </c>
      <c r="G706" s="68">
        <v>6</v>
      </c>
      <c r="K706" s="59"/>
    </row>
    <row r="707" spans="1:76" x14ac:dyDescent="0.25">
      <c r="A707" s="1" t="s">
        <v>1314</v>
      </c>
      <c r="B707" s="2" t="s">
        <v>84</v>
      </c>
      <c r="C707" s="2" t="s">
        <v>1315</v>
      </c>
      <c r="D707" s="86" t="s">
        <v>1316</v>
      </c>
      <c r="E707" s="81"/>
      <c r="F707" s="2" t="s">
        <v>258</v>
      </c>
      <c r="G707" s="34">
        <v>7</v>
      </c>
      <c r="H707" s="64">
        <v>0</v>
      </c>
      <c r="I707" s="34">
        <f>ROUND(G707*H707,2)</f>
        <v>0</v>
      </c>
      <c r="J707" s="65" t="s">
        <v>398</v>
      </c>
      <c r="K707" s="59"/>
      <c r="Z707" s="34">
        <f>ROUND(IF(AQ707="5",BJ707,0),2)</f>
        <v>0</v>
      </c>
      <c r="AB707" s="34">
        <f>ROUND(IF(AQ707="1",BH707,0),2)</f>
        <v>0</v>
      </c>
      <c r="AC707" s="34">
        <f>ROUND(IF(AQ707="1",BI707,0),2)</f>
        <v>0</v>
      </c>
      <c r="AD707" s="34">
        <f>ROUND(IF(AQ707="7",BH707,0),2)</f>
        <v>0</v>
      </c>
      <c r="AE707" s="34">
        <f>ROUND(IF(AQ707="7",BI707,0),2)</f>
        <v>0</v>
      </c>
      <c r="AF707" s="34">
        <f>ROUND(IF(AQ707="2",BH707,0),2)</f>
        <v>0</v>
      </c>
      <c r="AG707" s="34">
        <f>ROUND(IF(AQ707="2",BI707,0),2)</f>
        <v>0</v>
      </c>
      <c r="AH707" s="34">
        <f>ROUND(IF(AQ707="0",BJ707,0),2)</f>
        <v>0</v>
      </c>
      <c r="AI707" s="46" t="s">
        <v>84</v>
      </c>
      <c r="AJ707" s="34">
        <f>IF(AN707=0,I707,0)</f>
        <v>0</v>
      </c>
      <c r="AK707" s="34">
        <f>IF(AN707=12,I707,0)</f>
        <v>0</v>
      </c>
      <c r="AL707" s="34">
        <f>IF(AN707=21,I707,0)</f>
        <v>0</v>
      </c>
      <c r="AN707" s="34">
        <v>21</v>
      </c>
      <c r="AO707" s="34">
        <f>H707*1</f>
        <v>0</v>
      </c>
      <c r="AP707" s="34">
        <f>H707*(1-1)</f>
        <v>0</v>
      </c>
      <c r="AQ707" s="65" t="s">
        <v>175</v>
      </c>
      <c r="AV707" s="34">
        <f>ROUND(AW707+AX707,2)</f>
        <v>0</v>
      </c>
      <c r="AW707" s="34">
        <f>ROUND(G707*AO707,2)</f>
        <v>0</v>
      </c>
      <c r="AX707" s="34">
        <f>ROUND(G707*AP707,2)</f>
        <v>0</v>
      </c>
      <c r="AY707" s="65" t="s">
        <v>1275</v>
      </c>
      <c r="AZ707" s="65" t="s">
        <v>1103</v>
      </c>
      <c r="BA707" s="46" t="s">
        <v>136</v>
      </c>
      <c r="BC707" s="34">
        <f>AW707+AX707</f>
        <v>0</v>
      </c>
      <c r="BD707" s="34">
        <f>H707/(100-BE707)*100</f>
        <v>0</v>
      </c>
      <c r="BE707" s="34">
        <v>0</v>
      </c>
      <c r="BF707" s="34">
        <f>707</f>
        <v>707</v>
      </c>
      <c r="BH707" s="34">
        <f>G707*AO707</f>
        <v>0</v>
      </c>
      <c r="BI707" s="34">
        <f>G707*AP707</f>
        <v>0</v>
      </c>
      <c r="BJ707" s="34">
        <f>G707*H707</f>
        <v>0</v>
      </c>
      <c r="BK707" s="34"/>
      <c r="BL707" s="34">
        <v>766</v>
      </c>
      <c r="BW707" s="34">
        <v>21</v>
      </c>
      <c r="BX707" s="3" t="s">
        <v>1316</v>
      </c>
    </row>
    <row r="708" spans="1:76" ht="13.5" customHeight="1" x14ac:dyDescent="0.25">
      <c r="A708" s="66"/>
      <c r="C708" s="69" t="s">
        <v>204</v>
      </c>
      <c r="D708" s="169" t="s">
        <v>1286</v>
      </c>
      <c r="E708" s="170"/>
      <c r="F708" s="170"/>
      <c r="G708" s="170"/>
      <c r="H708" s="171"/>
      <c r="I708" s="170"/>
      <c r="J708" s="170"/>
      <c r="K708" s="172"/>
    </row>
    <row r="709" spans="1:76" x14ac:dyDescent="0.25">
      <c r="A709" s="66"/>
      <c r="D709" s="67" t="s">
        <v>175</v>
      </c>
      <c r="E709" s="67" t="s">
        <v>4</v>
      </c>
      <c r="G709" s="68">
        <v>7</v>
      </c>
      <c r="K709" s="59"/>
    </row>
    <row r="710" spans="1:76" x14ac:dyDescent="0.25">
      <c r="A710" s="1" t="s">
        <v>1317</v>
      </c>
      <c r="B710" s="2" t="s">
        <v>84</v>
      </c>
      <c r="C710" s="2" t="s">
        <v>1318</v>
      </c>
      <c r="D710" s="86" t="s">
        <v>1319</v>
      </c>
      <c r="E710" s="81"/>
      <c r="F710" s="2" t="s">
        <v>258</v>
      </c>
      <c r="G710" s="34">
        <v>2</v>
      </c>
      <c r="H710" s="64">
        <v>0</v>
      </c>
      <c r="I710" s="34">
        <f>ROUND(G710*H710,2)</f>
        <v>0</v>
      </c>
      <c r="J710" s="65" t="s">
        <v>398</v>
      </c>
      <c r="K710" s="59"/>
      <c r="Z710" s="34">
        <f>ROUND(IF(AQ710="5",BJ710,0),2)</f>
        <v>0</v>
      </c>
      <c r="AB710" s="34">
        <f>ROUND(IF(AQ710="1",BH710,0),2)</f>
        <v>0</v>
      </c>
      <c r="AC710" s="34">
        <f>ROUND(IF(AQ710="1",BI710,0),2)</f>
        <v>0</v>
      </c>
      <c r="AD710" s="34">
        <f>ROUND(IF(AQ710="7",BH710,0),2)</f>
        <v>0</v>
      </c>
      <c r="AE710" s="34">
        <f>ROUND(IF(AQ710="7",BI710,0),2)</f>
        <v>0</v>
      </c>
      <c r="AF710" s="34">
        <f>ROUND(IF(AQ710="2",BH710,0),2)</f>
        <v>0</v>
      </c>
      <c r="AG710" s="34">
        <f>ROUND(IF(AQ710="2",BI710,0),2)</f>
        <v>0</v>
      </c>
      <c r="AH710" s="34">
        <f>ROUND(IF(AQ710="0",BJ710,0),2)</f>
        <v>0</v>
      </c>
      <c r="AI710" s="46" t="s">
        <v>84</v>
      </c>
      <c r="AJ710" s="34">
        <f>IF(AN710=0,I710,0)</f>
        <v>0</v>
      </c>
      <c r="AK710" s="34">
        <f>IF(AN710=12,I710,0)</f>
        <v>0</v>
      </c>
      <c r="AL710" s="34">
        <f>IF(AN710=21,I710,0)</f>
        <v>0</v>
      </c>
      <c r="AN710" s="34">
        <v>21</v>
      </c>
      <c r="AO710" s="34">
        <f>H710*1</f>
        <v>0</v>
      </c>
      <c r="AP710" s="34">
        <f>H710*(1-1)</f>
        <v>0</v>
      </c>
      <c r="AQ710" s="65" t="s">
        <v>175</v>
      </c>
      <c r="AV710" s="34">
        <f>ROUND(AW710+AX710,2)</f>
        <v>0</v>
      </c>
      <c r="AW710" s="34">
        <f>ROUND(G710*AO710,2)</f>
        <v>0</v>
      </c>
      <c r="AX710" s="34">
        <f>ROUND(G710*AP710,2)</f>
        <v>0</v>
      </c>
      <c r="AY710" s="65" t="s">
        <v>1275</v>
      </c>
      <c r="AZ710" s="65" t="s">
        <v>1103</v>
      </c>
      <c r="BA710" s="46" t="s">
        <v>136</v>
      </c>
      <c r="BC710" s="34">
        <f>AW710+AX710</f>
        <v>0</v>
      </c>
      <c r="BD710" s="34">
        <f>H710/(100-BE710)*100</f>
        <v>0</v>
      </c>
      <c r="BE710" s="34">
        <v>0</v>
      </c>
      <c r="BF710" s="34">
        <f>710</f>
        <v>710</v>
      </c>
      <c r="BH710" s="34">
        <f>G710*AO710</f>
        <v>0</v>
      </c>
      <c r="BI710" s="34">
        <f>G710*AP710</f>
        <v>0</v>
      </c>
      <c r="BJ710" s="34">
        <f>G710*H710</f>
        <v>0</v>
      </c>
      <c r="BK710" s="34"/>
      <c r="BL710" s="34">
        <v>766</v>
      </c>
      <c r="BW710" s="34">
        <v>21</v>
      </c>
      <c r="BX710" s="3" t="s">
        <v>1319</v>
      </c>
    </row>
    <row r="711" spans="1:76" ht="13.5" customHeight="1" x14ac:dyDescent="0.25">
      <c r="A711" s="66"/>
      <c r="C711" s="69" t="s">
        <v>204</v>
      </c>
      <c r="D711" s="169" t="s">
        <v>1286</v>
      </c>
      <c r="E711" s="170"/>
      <c r="F711" s="170"/>
      <c r="G711" s="170"/>
      <c r="H711" s="171"/>
      <c r="I711" s="170"/>
      <c r="J711" s="170"/>
      <c r="K711" s="172"/>
    </row>
    <row r="712" spans="1:76" x14ac:dyDescent="0.25">
      <c r="A712" s="66"/>
      <c r="D712" s="67" t="s">
        <v>140</v>
      </c>
      <c r="E712" s="67" t="s">
        <v>4</v>
      </c>
      <c r="G712" s="68">
        <v>2</v>
      </c>
      <c r="K712" s="59"/>
    </row>
    <row r="713" spans="1:76" x14ac:dyDescent="0.25">
      <c r="A713" s="1" t="s">
        <v>1320</v>
      </c>
      <c r="B713" s="2" t="s">
        <v>84</v>
      </c>
      <c r="C713" s="2" t="s">
        <v>1321</v>
      </c>
      <c r="D713" s="86" t="s">
        <v>1322</v>
      </c>
      <c r="E713" s="81"/>
      <c r="F713" s="2" t="s">
        <v>258</v>
      </c>
      <c r="G713" s="34">
        <v>4</v>
      </c>
      <c r="H713" s="64">
        <v>0</v>
      </c>
      <c r="I713" s="34">
        <f>ROUND(G713*H713,2)</f>
        <v>0</v>
      </c>
      <c r="J713" s="65" t="s">
        <v>398</v>
      </c>
      <c r="K713" s="59"/>
      <c r="Z713" s="34">
        <f>ROUND(IF(AQ713="5",BJ713,0),2)</f>
        <v>0</v>
      </c>
      <c r="AB713" s="34">
        <f>ROUND(IF(AQ713="1",BH713,0),2)</f>
        <v>0</v>
      </c>
      <c r="AC713" s="34">
        <f>ROUND(IF(AQ713="1",BI713,0),2)</f>
        <v>0</v>
      </c>
      <c r="AD713" s="34">
        <f>ROUND(IF(AQ713="7",BH713,0),2)</f>
        <v>0</v>
      </c>
      <c r="AE713" s="34">
        <f>ROUND(IF(AQ713="7",BI713,0),2)</f>
        <v>0</v>
      </c>
      <c r="AF713" s="34">
        <f>ROUND(IF(AQ713="2",BH713,0),2)</f>
        <v>0</v>
      </c>
      <c r="AG713" s="34">
        <f>ROUND(IF(AQ713="2",BI713,0),2)</f>
        <v>0</v>
      </c>
      <c r="AH713" s="34">
        <f>ROUND(IF(AQ713="0",BJ713,0),2)</f>
        <v>0</v>
      </c>
      <c r="AI713" s="46" t="s">
        <v>84</v>
      </c>
      <c r="AJ713" s="34">
        <f>IF(AN713=0,I713,0)</f>
        <v>0</v>
      </c>
      <c r="AK713" s="34">
        <f>IF(AN713=12,I713,0)</f>
        <v>0</v>
      </c>
      <c r="AL713" s="34">
        <f>IF(AN713=21,I713,0)</f>
        <v>0</v>
      </c>
      <c r="AN713" s="34">
        <v>21</v>
      </c>
      <c r="AO713" s="34">
        <f>H713*0.919308357</f>
        <v>0</v>
      </c>
      <c r="AP713" s="34">
        <f>H713*(1-0.919308357)</f>
        <v>0</v>
      </c>
      <c r="AQ713" s="65" t="s">
        <v>175</v>
      </c>
      <c r="AV713" s="34">
        <f>ROUND(AW713+AX713,2)</f>
        <v>0</v>
      </c>
      <c r="AW713" s="34">
        <f>ROUND(G713*AO713,2)</f>
        <v>0</v>
      </c>
      <c r="AX713" s="34">
        <f>ROUND(G713*AP713,2)</f>
        <v>0</v>
      </c>
      <c r="AY713" s="65" t="s">
        <v>1275</v>
      </c>
      <c r="AZ713" s="65" t="s">
        <v>1103</v>
      </c>
      <c r="BA713" s="46" t="s">
        <v>136</v>
      </c>
      <c r="BC713" s="34">
        <f>AW713+AX713</f>
        <v>0</v>
      </c>
      <c r="BD713" s="34">
        <f>H713/(100-BE713)*100</f>
        <v>0</v>
      </c>
      <c r="BE713" s="34">
        <v>0</v>
      </c>
      <c r="BF713" s="34">
        <f>713</f>
        <v>713</v>
      </c>
      <c r="BH713" s="34">
        <f>G713*AO713</f>
        <v>0</v>
      </c>
      <c r="BI713" s="34">
        <f>G713*AP713</f>
        <v>0</v>
      </c>
      <c r="BJ713" s="34">
        <f>G713*H713</f>
        <v>0</v>
      </c>
      <c r="BK713" s="34"/>
      <c r="BL713" s="34">
        <v>766</v>
      </c>
      <c r="BW713" s="34">
        <v>21</v>
      </c>
      <c r="BX713" s="3" t="s">
        <v>1322</v>
      </c>
    </row>
    <row r="714" spans="1:76" ht="13.5" customHeight="1" x14ac:dyDescent="0.25">
      <c r="A714" s="66"/>
      <c r="C714" s="69" t="s">
        <v>204</v>
      </c>
      <c r="D714" s="169" t="s">
        <v>1323</v>
      </c>
      <c r="E714" s="170"/>
      <c r="F714" s="170"/>
      <c r="G714" s="170"/>
      <c r="H714" s="171"/>
      <c r="I714" s="170"/>
      <c r="J714" s="170"/>
      <c r="K714" s="172"/>
    </row>
    <row r="715" spans="1:76" x14ac:dyDescent="0.25">
      <c r="A715" s="66"/>
      <c r="D715" s="67" t="s">
        <v>161</v>
      </c>
      <c r="E715" s="67" t="s">
        <v>1324</v>
      </c>
      <c r="G715" s="68">
        <v>4</v>
      </c>
      <c r="K715" s="59"/>
    </row>
    <row r="716" spans="1:76" x14ac:dyDescent="0.25">
      <c r="A716" s="1" t="s">
        <v>1325</v>
      </c>
      <c r="B716" s="2" t="s">
        <v>84</v>
      </c>
      <c r="C716" s="2" t="s">
        <v>1326</v>
      </c>
      <c r="D716" s="86" t="s">
        <v>1327</v>
      </c>
      <c r="E716" s="81"/>
      <c r="F716" s="2" t="s">
        <v>258</v>
      </c>
      <c r="G716" s="34">
        <v>1</v>
      </c>
      <c r="H716" s="64">
        <v>0</v>
      </c>
      <c r="I716" s="34">
        <f>ROUND(G716*H716,2)</f>
        <v>0</v>
      </c>
      <c r="J716" s="65" t="s">
        <v>398</v>
      </c>
      <c r="K716" s="59"/>
      <c r="Z716" s="34">
        <f>ROUND(IF(AQ716="5",BJ716,0),2)</f>
        <v>0</v>
      </c>
      <c r="AB716" s="34">
        <f>ROUND(IF(AQ716="1",BH716,0),2)</f>
        <v>0</v>
      </c>
      <c r="AC716" s="34">
        <f>ROUND(IF(AQ716="1",BI716,0),2)</f>
        <v>0</v>
      </c>
      <c r="AD716" s="34">
        <f>ROUND(IF(AQ716="7",BH716,0),2)</f>
        <v>0</v>
      </c>
      <c r="AE716" s="34">
        <f>ROUND(IF(AQ716="7",BI716,0),2)</f>
        <v>0</v>
      </c>
      <c r="AF716" s="34">
        <f>ROUND(IF(AQ716="2",BH716,0),2)</f>
        <v>0</v>
      </c>
      <c r="AG716" s="34">
        <f>ROUND(IF(AQ716="2",BI716,0),2)</f>
        <v>0</v>
      </c>
      <c r="AH716" s="34">
        <f>ROUND(IF(AQ716="0",BJ716,0),2)</f>
        <v>0</v>
      </c>
      <c r="AI716" s="46" t="s">
        <v>84</v>
      </c>
      <c r="AJ716" s="34">
        <f>IF(AN716=0,I716,0)</f>
        <v>0</v>
      </c>
      <c r="AK716" s="34">
        <f>IF(AN716=12,I716,0)</f>
        <v>0</v>
      </c>
      <c r="AL716" s="34">
        <f>IF(AN716=21,I716,0)</f>
        <v>0</v>
      </c>
      <c r="AN716" s="34">
        <v>21</v>
      </c>
      <c r="AO716" s="34">
        <f>H716*1</f>
        <v>0</v>
      </c>
      <c r="AP716" s="34">
        <f>H716*(1-1)</f>
        <v>0</v>
      </c>
      <c r="AQ716" s="65" t="s">
        <v>175</v>
      </c>
      <c r="AV716" s="34">
        <f>ROUND(AW716+AX716,2)</f>
        <v>0</v>
      </c>
      <c r="AW716" s="34">
        <f>ROUND(G716*AO716,2)</f>
        <v>0</v>
      </c>
      <c r="AX716" s="34">
        <f>ROUND(G716*AP716,2)</f>
        <v>0</v>
      </c>
      <c r="AY716" s="65" t="s">
        <v>1275</v>
      </c>
      <c r="AZ716" s="65" t="s">
        <v>1103</v>
      </c>
      <c r="BA716" s="46" t="s">
        <v>136</v>
      </c>
      <c r="BC716" s="34">
        <f>AW716+AX716</f>
        <v>0</v>
      </c>
      <c r="BD716" s="34">
        <f>H716/(100-BE716)*100</f>
        <v>0</v>
      </c>
      <c r="BE716" s="34">
        <v>0</v>
      </c>
      <c r="BF716" s="34">
        <f>716</f>
        <v>716</v>
      </c>
      <c r="BH716" s="34">
        <f>G716*AO716</f>
        <v>0</v>
      </c>
      <c r="BI716" s="34">
        <f>G716*AP716</f>
        <v>0</v>
      </c>
      <c r="BJ716" s="34">
        <f>G716*H716</f>
        <v>0</v>
      </c>
      <c r="BK716" s="34"/>
      <c r="BL716" s="34">
        <v>766</v>
      </c>
      <c r="BW716" s="34">
        <v>21</v>
      </c>
      <c r="BX716" s="3" t="s">
        <v>1327</v>
      </c>
    </row>
    <row r="717" spans="1:76" ht="13.5" customHeight="1" x14ac:dyDescent="0.25">
      <c r="A717" s="66"/>
      <c r="C717" s="69" t="s">
        <v>204</v>
      </c>
      <c r="D717" s="169" t="s">
        <v>1286</v>
      </c>
      <c r="E717" s="170"/>
      <c r="F717" s="170"/>
      <c r="G717" s="170"/>
      <c r="H717" s="171"/>
      <c r="I717" s="170"/>
      <c r="J717" s="170"/>
      <c r="K717" s="172"/>
    </row>
    <row r="718" spans="1:76" x14ac:dyDescent="0.25">
      <c r="A718" s="66"/>
      <c r="D718" s="67" t="s">
        <v>129</v>
      </c>
      <c r="E718" s="67" t="s">
        <v>1328</v>
      </c>
      <c r="G718" s="68">
        <v>1</v>
      </c>
      <c r="K718" s="59"/>
    </row>
    <row r="719" spans="1:76" x14ac:dyDescent="0.25">
      <c r="A719" s="1" t="s">
        <v>1329</v>
      </c>
      <c r="B719" s="2" t="s">
        <v>84</v>
      </c>
      <c r="C719" s="2" t="s">
        <v>1330</v>
      </c>
      <c r="D719" s="86" t="s">
        <v>1331</v>
      </c>
      <c r="E719" s="81"/>
      <c r="F719" s="2" t="s">
        <v>258</v>
      </c>
      <c r="G719" s="34">
        <v>1</v>
      </c>
      <c r="H719" s="64">
        <v>0</v>
      </c>
      <c r="I719" s="34">
        <f>ROUND(G719*H719,2)</f>
        <v>0</v>
      </c>
      <c r="J719" s="65" t="s">
        <v>398</v>
      </c>
      <c r="K719" s="59"/>
      <c r="Z719" s="34">
        <f>ROUND(IF(AQ719="5",BJ719,0),2)</f>
        <v>0</v>
      </c>
      <c r="AB719" s="34">
        <f>ROUND(IF(AQ719="1",BH719,0),2)</f>
        <v>0</v>
      </c>
      <c r="AC719" s="34">
        <f>ROUND(IF(AQ719="1",BI719,0),2)</f>
        <v>0</v>
      </c>
      <c r="AD719" s="34">
        <f>ROUND(IF(AQ719="7",BH719,0),2)</f>
        <v>0</v>
      </c>
      <c r="AE719" s="34">
        <f>ROUND(IF(AQ719="7",BI719,0),2)</f>
        <v>0</v>
      </c>
      <c r="AF719" s="34">
        <f>ROUND(IF(AQ719="2",BH719,0),2)</f>
        <v>0</v>
      </c>
      <c r="AG719" s="34">
        <f>ROUND(IF(AQ719="2",BI719,0),2)</f>
        <v>0</v>
      </c>
      <c r="AH719" s="34">
        <f>ROUND(IF(AQ719="0",BJ719,0),2)</f>
        <v>0</v>
      </c>
      <c r="AI719" s="46" t="s">
        <v>84</v>
      </c>
      <c r="AJ719" s="34">
        <f>IF(AN719=0,I719,0)</f>
        <v>0</v>
      </c>
      <c r="AK719" s="34">
        <f>IF(AN719=12,I719,0)</f>
        <v>0</v>
      </c>
      <c r="AL719" s="34">
        <f>IF(AN719=21,I719,0)</f>
        <v>0</v>
      </c>
      <c r="AN719" s="34">
        <v>21</v>
      </c>
      <c r="AO719" s="34">
        <f>H719*1</f>
        <v>0</v>
      </c>
      <c r="AP719" s="34">
        <f>H719*(1-1)</f>
        <v>0</v>
      </c>
      <c r="AQ719" s="65" t="s">
        <v>175</v>
      </c>
      <c r="AV719" s="34">
        <f>ROUND(AW719+AX719,2)</f>
        <v>0</v>
      </c>
      <c r="AW719" s="34">
        <f>ROUND(G719*AO719,2)</f>
        <v>0</v>
      </c>
      <c r="AX719" s="34">
        <f>ROUND(G719*AP719,2)</f>
        <v>0</v>
      </c>
      <c r="AY719" s="65" t="s">
        <v>1275</v>
      </c>
      <c r="AZ719" s="65" t="s">
        <v>1103</v>
      </c>
      <c r="BA719" s="46" t="s">
        <v>136</v>
      </c>
      <c r="BC719" s="34">
        <f>AW719+AX719</f>
        <v>0</v>
      </c>
      <c r="BD719" s="34">
        <f>H719/(100-BE719)*100</f>
        <v>0</v>
      </c>
      <c r="BE719" s="34">
        <v>0</v>
      </c>
      <c r="BF719" s="34">
        <f>719</f>
        <v>719</v>
      </c>
      <c r="BH719" s="34">
        <f>G719*AO719</f>
        <v>0</v>
      </c>
      <c r="BI719" s="34">
        <f>G719*AP719</f>
        <v>0</v>
      </c>
      <c r="BJ719" s="34">
        <f>G719*H719</f>
        <v>0</v>
      </c>
      <c r="BK719" s="34"/>
      <c r="BL719" s="34">
        <v>766</v>
      </c>
      <c r="BW719" s="34">
        <v>21</v>
      </c>
      <c r="BX719" s="3" t="s">
        <v>1331</v>
      </c>
    </row>
    <row r="720" spans="1:76" ht="13.5" customHeight="1" x14ac:dyDescent="0.25">
      <c r="A720" s="66"/>
      <c r="C720" s="69" t="s">
        <v>204</v>
      </c>
      <c r="D720" s="169" t="s">
        <v>1286</v>
      </c>
      <c r="E720" s="170"/>
      <c r="F720" s="170"/>
      <c r="G720" s="170"/>
      <c r="H720" s="171"/>
      <c r="I720" s="170"/>
      <c r="J720" s="170"/>
      <c r="K720" s="172"/>
    </row>
    <row r="721" spans="1:76" x14ac:dyDescent="0.25">
      <c r="A721" s="66"/>
      <c r="D721" s="67" t="s">
        <v>129</v>
      </c>
      <c r="E721" s="67" t="s">
        <v>1332</v>
      </c>
      <c r="G721" s="68">
        <v>1</v>
      </c>
      <c r="K721" s="59"/>
    </row>
    <row r="722" spans="1:76" x14ac:dyDescent="0.25">
      <c r="A722" s="1" t="s">
        <v>1333</v>
      </c>
      <c r="B722" s="2" t="s">
        <v>84</v>
      </c>
      <c r="C722" s="2" t="s">
        <v>1334</v>
      </c>
      <c r="D722" s="86" t="s">
        <v>1335</v>
      </c>
      <c r="E722" s="81"/>
      <c r="F722" s="2" t="s">
        <v>258</v>
      </c>
      <c r="G722" s="34">
        <v>1</v>
      </c>
      <c r="H722" s="64">
        <v>0</v>
      </c>
      <c r="I722" s="34">
        <f>ROUND(G722*H722,2)</f>
        <v>0</v>
      </c>
      <c r="J722" s="65" t="s">
        <v>398</v>
      </c>
      <c r="K722" s="59"/>
      <c r="Z722" s="34">
        <f>ROUND(IF(AQ722="5",BJ722,0),2)</f>
        <v>0</v>
      </c>
      <c r="AB722" s="34">
        <f>ROUND(IF(AQ722="1",BH722,0),2)</f>
        <v>0</v>
      </c>
      <c r="AC722" s="34">
        <f>ROUND(IF(AQ722="1",BI722,0),2)</f>
        <v>0</v>
      </c>
      <c r="AD722" s="34">
        <f>ROUND(IF(AQ722="7",BH722,0),2)</f>
        <v>0</v>
      </c>
      <c r="AE722" s="34">
        <f>ROUND(IF(AQ722="7",BI722,0),2)</f>
        <v>0</v>
      </c>
      <c r="AF722" s="34">
        <f>ROUND(IF(AQ722="2",BH722,0),2)</f>
        <v>0</v>
      </c>
      <c r="AG722" s="34">
        <f>ROUND(IF(AQ722="2",BI722,0),2)</f>
        <v>0</v>
      </c>
      <c r="AH722" s="34">
        <f>ROUND(IF(AQ722="0",BJ722,0),2)</f>
        <v>0</v>
      </c>
      <c r="AI722" s="46" t="s">
        <v>84</v>
      </c>
      <c r="AJ722" s="34">
        <f>IF(AN722=0,I722,0)</f>
        <v>0</v>
      </c>
      <c r="AK722" s="34">
        <f>IF(AN722=12,I722,0)</f>
        <v>0</v>
      </c>
      <c r="AL722" s="34">
        <f>IF(AN722=21,I722,0)</f>
        <v>0</v>
      </c>
      <c r="AN722" s="34">
        <v>21</v>
      </c>
      <c r="AO722" s="34">
        <f>H722*1</f>
        <v>0</v>
      </c>
      <c r="AP722" s="34">
        <f>H722*(1-1)</f>
        <v>0</v>
      </c>
      <c r="AQ722" s="65" t="s">
        <v>175</v>
      </c>
      <c r="AV722" s="34">
        <f>ROUND(AW722+AX722,2)</f>
        <v>0</v>
      </c>
      <c r="AW722" s="34">
        <f>ROUND(G722*AO722,2)</f>
        <v>0</v>
      </c>
      <c r="AX722" s="34">
        <f>ROUND(G722*AP722,2)</f>
        <v>0</v>
      </c>
      <c r="AY722" s="65" t="s">
        <v>1275</v>
      </c>
      <c r="AZ722" s="65" t="s">
        <v>1103</v>
      </c>
      <c r="BA722" s="46" t="s">
        <v>136</v>
      </c>
      <c r="BC722" s="34">
        <f>AW722+AX722</f>
        <v>0</v>
      </c>
      <c r="BD722" s="34">
        <f>H722/(100-BE722)*100</f>
        <v>0</v>
      </c>
      <c r="BE722" s="34">
        <v>0</v>
      </c>
      <c r="BF722" s="34">
        <f>722</f>
        <v>722</v>
      </c>
      <c r="BH722" s="34">
        <f>G722*AO722</f>
        <v>0</v>
      </c>
      <c r="BI722" s="34">
        <f>G722*AP722</f>
        <v>0</v>
      </c>
      <c r="BJ722" s="34">
        <f>G722*H722</f>
        <v>0</v>
      </c>
      <c r="BK722" s="34"/>
      <c r="BL722" s="34">
        <v>766</v>
      </c>
      <c r="BW722" s="34">
        <v>21</v>
      </c>
      <c r="BX722" s="3" t="s">
        <v>1335</v>
      </c>
    </row>
    <row r="723" spans="1:76" ht="13.5" customHeight="1" x14ac:dyDescent="0.25">
      <c r="A723" s="66"/>
      <c r="C723" s="69" t="s">
        <v>204</v>
      </c>
      <c r="D723" s="169" t="s">
        <v>1286</v>
      </c>
      <c r="E723" s="170"/>
      <c r="F723" s="170"/>
      <c r="G723" s="170"/>
      <c r="H723" s="171"/>
      <c r="I723" s="170"/>
      <c r="J723" s="170"/>
      <c r="K723" s="172"/>
    </row>
    <row r="724" spans="1:76" x14ac:dyDescent="0.25">
      <c r="A724" s="66"/>
      <c r="D724" s="67" t="s">
        <v>129</v>
      </c>
      <c r="E724" s="67" t="s">
        <v>1332</v>
      </c>
      <c r="G724" s="68">
        <v>1</v>
      </c>
      <c r="K724" s="59"/>
    </row>
    <row r="725" spans="1:76" x14ac:dyDescent="0.25">
      <c r="A725" s="1" t="s">
        <v>1336</v>
      </c>
      <c r="B725" s="2" t="s">
        <v>84</v>
      </c>
      <c r="C725" s="2" t="s">
        <v>1337</v>
      </c>
      <c r="D725" s="86" t="s">
        <v>1338</v>
      </c>
      <c r="E725" s="81"/>
      <c r="F725" s="2" t="s">
        <v>258</v>
      </c>
      <c r="G725" s="34">
        <v>1</v>
      </c>
      <c r="H725" s="64">
        <v>0</v>
      </c>
      <c r="I725" s="34">
        <f>ROUND(G725*H725,2)</f>
        <v>0</v>
      </c>
      <c r="J725" s="65" t="s">
        <v>398</v>
      </c>
      <c r="K725" s="59"/>
      <c r="Z725" s="34">
        <f>ROUND(IF(AQ725="5",BJ725,0),2)</f>
        <v>0</v>
      </c>
      <c r="AB725" s="34">
        <f>ROUND(IF(AQ725="1",BH725,0),2)</f>
        <v>0</v>
      </c>
      <c r="AC725" s="34">
        <f>ROUND(IF(AQ725="1",BI725,0),2)</f>
        <v>0</v>
      </c>
      <c r="AD725" s="34">
        <f>ROUND(IF(AQ725="7",BH725,0),2)</f>
        <v>0</v>
      </c>
      <c r="AE725" s="34">
        <f>ROUND(IF(AQ725="7",BI725,0),2)</f>
        <v>0</v>
      </c>
      <c r="AF725" s="34">
        <f>ROUND(IF(AQ725="2",BH725,0),2)</f>
        <v>0</v>
      </c>
      <c r="AG725" s="34">
        <f>ROUND(IF(AQ725="2",BI725,0),2)</f>
        <v>0</v>
      </c>
      <c r="AH725" s="34">
        <f>ROUND(IF(AQ725="0",BJ725,0),2)</f>
        <v>0</v>
      </c>
      <c r="AI725" s="46" t="s">
        <v>84</v>
      </c>
      <c r="AJ725" s="34">
        <f>IF(AN725=0,I725,0)</f>
        <v>0</v>
      </c>
      <c r="AK725" s="34">
        <f>IF(AN725=12,I725,0)</f>
        <v>0</v>
      </c>
      <c r="AL725" s="34">
        <f>IF(AN725=21,I725,0)</f>
        <v>0</v>
      </c>
      <c r="AN725" s="34">
        <v>21</v>
      </c>
      <c r="AO725" s="34">
        <f>H725*1</f>
        <v>0</v>
      </c>
      <c r="AP725" s="34">
        <f>H725*(1-1)</f>
        <v>0</v>
      </c>
      <c r="AQ725" s="65" t="s">
        <v>175</v>
      </c>
      <c r="AV725" s="34">
        <f>ROUND(AW725+AX725,2)</f>
        <v>0</v>
      </c>
      <c r="AW725" s="34">
        <f>ROUND(G725*AO725,2)</f>
        <v>0</v>
      </c>
      <c r="AX725" s="34">
        <f>ROUND(G725*AP725,2)</f>
        <v>0</v>
      </c>
      <c r="AY725" s="65" t="s">
        <v>1275</v>
      </c>
      <c r="AZ725" s="65" t="s">
        <v>1103</v>
      </c>
      <c r="BA725" s="46" t="s">
        <v>136</v>
      </c>
      <c r="BC725" s="34">
        <f>AW725+AX725</f>
        <v>0</v>
      </c>
      <c r="BD725" s="34">
        <f>H725/(100-BE725)*100</f>
        <v>0</v>
      </c>
      <c r="BE725" s="34">
        <v>0</v>
      </c>
      <c r="BF725" s="34">
        <f>725</f>
        <v>725</v>
      </c>
      <c r="BH725" s="34">
        <f>G725*AO725</f>
        <v>0</v>
      </c>
      <c r="BI725" s="34">
        <f>G725*AP725</f>
        <v>0</v>
      </c>
      <c r="BJ725" s="34">
        <f>G725*H725</f>
        <v>0</v>
      </c>
      <c r="BK725" s="34"/>
      <c r="BL725" s="34">
        <v>766</v>
      </c>
      <c r="BW725" s="34">
        <v>21</v>
      </c>
      <c r="BX725" s="3" t="s">
        <v>1338</v>
      </c>
    </row>
    <row r="726" spans="1:76" ht="13.5" customHeight="1" x14ac:dyDescent="0.25">
      <c r="A726" s="66"/>
      <c r="C726" s="69" t="s">
        <v>204</v>
      </c>
      <c r="D726" s="169" t="s">
        <v>1286</v>
      </c>
      <c r="E726" s="170"/>
      <c r="F726" s="170"/>
      <c r="G726" s="170"/>
      <c r="H726" s="171"/>
      <c r="I726" s="170"/>
      <c r="J726" s="170"/>
      <c r="K726" s="172"/>
    </row>
    <row r="727" spans="1:76" x14ac:dyDescent="0.25">
      <c r="A727" s="66"/>
      <c r="D727" s="67" t="s">
        <v>129</v>
      </c>
      <c r="E727" s="67" t="s">
        <v>1332</v>
      </c>
      <c r="G727" s="68">
        <v>1</v>
      </c>
      <c r="K727" s="59"/>
    </row>
    <row r="728" spans="1:76" x14ac:dyDescent="0.25">
      <c r="A728" s="1" t="s">
        <v>1339</v>
      </c>
      <c r="B728" s="2" t="s">
        <v>84</v>
      </c>
      <c r="C728" s="2" t="s">
        <v>1340</v>
      </c>
      <c r="D728" s="86" t="s">
        <v>1341</v>
      </c>
      <c r="E728" s="81"/>
      <c r="F728" s="2" t="s">
        <v>239</v>
      </c>
      <c r="G728" s="34">
        <v>25</v>
      </c>
      <c r="H728" s="64">
        <v>0</v>
      </c>
      <c r="I728" s="34">
        <f>ROUND(G728*H728,2)</f>
        <v>0</v>
      </c>
      <c r="J728" s="65" t="s">
        <v>133</v>
      </c>
      <c r="K728" s="59"/>
      <c r="Z728" s="34">
        <f>ROUND(IF(AQ728="5",BJ728,0),2)</f>
        <v>0</v>
      </c>
      <c r="AB728" s="34">
        <f>ROUND(IF(AQ728="1",BH728,0),2)</f>
        <v>0</v>
      </c>
      <c r="AC728" s="34">
        <f>ROUND(IF(AQ728="1",BI728,0),2)</f>
        <v>0</v>
      </c>
      <c r="AD728" s="34">
        <f>ROUND(IF(AQ728="7",BH728,0),2)</f>
        <v>0</v>
      </c>
      <c r="AE728" s="34">
        <f>ROUND(IF(AQ728="7",BI728,0),2)</f>
        <v>0</v>
      </c>
      <c r="AF728" s="34">
        <f>ROUND(IF(AQ728="2",BH728,0),2)</f>
        <v>0</v>
      </c>
      <c r="AG728" s="34">
        <f>ROUND(IF(AQ728="2",BI728,0),2)</f>
        <v>0</v>
      </c>
      <c r="AH728" s="34">
        <f>ROUND(IF(AQ728="0",BJ728,0),2)</f>
        <v>0</v>
      </c>
      <c r="AI728" s="46" t="s">
        <v>84</v>
      </c>
      <c r="AJ728" s="34">
        <f>IF(AN728=0,I728,0)</f>
        <v>0</v>
      </c>
      <c r="AK728" s="34">
        <f>IF(AN728=12,I728,0)</f>
        <v>0</v>
      </c>
      <c r="AL728" s="34">
        <f>IF(AN728=21,I728,0)</f>
        <v>0</v>
      </c>
      <c r="AN728" s="34">
        <v>21</v>
      </c>
      <c r="AO728" s="34">
        <f>H728*0.70722346</f>
        <v>0</v>
      </c>
      <c r="AP728" s="34">
        <f>H728*(1-0.70722346)</f>
        <v>0</v>
      </c>
      <c r="AQ728" s="65" t="s">
        <v>175</v>
      </c>
      <c r="AV728" s="34">
        <f>ROUND(AW728+AX728,2)</f>
        <v>0</v>
      </c>
      <c r="AW728" s="34">
        <f>ROUND(G728*AO728,2)</f>
        <v>0</v>
      </c>
      <c r="AX728" s="34">
        <f>ROUND(G728*AP728,2)</f>
        <v>0</v>
      </c>
      <c r="AY728" s="65" t="s">
        <v>1275</v>
      </c>
      <c r="AZ728" s="65" t="s">
        <v>1103</v>
      </c>
      <c r="BA728" s="46" t="s">
        <v>136</v>
      </c>
      <c r="BC728" s="34">
        <f>AW728+AX728</f>
        <v>0</v>
      </c>
      <c r="BD728" s="34">
        <f>H728/(100-BE728)*100</f>
        <v>0</v>
      </c>
      <c r="BE728" s="34">
        <v>0</v>
      </c>
      <c r="BF728" s="34">
        <f>728</f>
        <v>728</v>
      </c>
      <c r="BH728" s="34">
        <f>G728*AO728</f>
        <v>0</v>
      </c>
      <c r="BI728" s="34">
        <f>G728*AP728</f>
        <v>0</v>
      </c>
      <c r="BJ728" s="34">
        <f>G728*H728</f>
        <v>0</v>
      </c>
      <c r="BK728" s="34"/>
      <c r="BL728" s="34">
        <v>766</v>
      </c>
      <c r="BW728" s="34">
        <v>21</v>
      </c>
      <c r="BX728" s="3" t="s">
        <v>1341</v>
      </c>
    </row>
    <row r="729" spans="1:76" x14ac:dyDescent="0.25">
      <c r="A729" s="66"/>
      <c r="D729" s="67" t="s">
        <v>304</v>
      </c>
      <c r="E729" s="67" t="s">
        <v>1342</v>
      </c>
      <c r="G729" s="68">
        <v>25</v>
      </c>
      <c r="K729" s="59"/>
    </row>
    <row r="730" spans="1:76" x14ac:dyDescent="0.25">
      <c r="A730" s="1" t="s">
        <v>1343</v>
      </c>
      <c r="B730" s="2" t="s">
        <v>84</v>
      </c>
      <c r="C730" s="2" t="s">
        <v>1344</v>
      </c>
      <c r="D730" s="86" t="s">
        <v>1341</v>
      </c>
      <c r="E730" s="81"/>
      <c r="F730" s="2" t="s">
        <v>239</v>
      </c>
      <c r="G730" s="34">
        <v>3.2</v>
      </c>
      <c r="H730" s="64">
        <v>0</v>
      </c>
      <c r="I730" s="34">
        <f>ROUND(G730*H730,2)</f>
        <v>0</v>
      </c>
      <c r="J730" s="65" t="s">
        <v>133</v>
      </c>
      <c r="K730" s="59"/>
      <c r="Z730" s="34">
        <f>ROUND(IF(AQ730="5",BJ730,0),2)</f>
        <v>0</v>
      </c>
      <c r="AB730" s="34">
        <f>ROUND(IF(AQ730="1",BH730,0),2)</f>
        <v>0</v>
      </c>
      <c r="AC730" s="34">
        <f>ROUND(IF(AQ730="1",BI730,0),2)</f>
        <v>0</v>
      </c>
      <c r="AD730" s="34">
        <f>ROUND(IF(AQ730="7",BH730,0),2)</f>
        <v>0</v>
      </c>
      <c r="AE730" s="34">
        <f>ROUND(IF(AQ730="7",BI730,0),2)</f>
        <v>0</v>
      </c>
      <c r="AF730" s="34">
        <f>ROUND(IF(AQ730="2",BH730,0),2)</f>
        <v>0</v>
      </c>
      <c r="AG730" s="34">
        <f>ROUND(IF(AQ730="2",BI730,0),2)</f>
        <v>0</v>
      </c>
      <c r="AH730" s="34">
        <f>ROUND(IF(AQ730="0",BJ730,0),2)</f>
        <v>0</v>
      </c>
      <c r="AI730" s="46" t="s">
        <v>84</v>
      </c>
      <c r="AJ730" s="34">
        <f>IF(AN730=0,I730,0)</f>
        <v>0</v>
      </c>
      <c r="AK730" s="34">
        <f>IF(AN730=12,I730,0)</f>
        <v>0</v>
      </c>
      <c r="AL730" s="34">
        <f>IF(AN730=21,I730,0)</f>
        <v>0</v>
      </c>
      <c r="AN730" s="34">
        <v>21</v>
      </c>
      <c r="AO730" s="34">
        <f>H730*0.707224388</f>
        <v>0</v>
      </c>
      <c r="AP730" s="34">
        <f>H730*(1-0.707224388)</f>
        <v>0</v>
      </c>
      <c r="AQ730" s="65" t="s">
        <v>175</v>
      </c>
      <c r="AV730" s="34">
        <f>ROUND(AW730+AX730,2)</f>
        <v>0</v>
      </c>
      <c r="AW730" s="34">
        <f>ROUND(G730*AO730,2)</f>
        <v>0</v>
      </c>
      <c r="AX730" s="34">
        <f>ROUND(G730*AP730,2)</f>
        <v>0</v>
      </c>
      <c r="AY730" s="65" t="s">
        <v>1275</v>
      </c>
      <c r="AZ730" s="65" t="s">
        <v>1103</v>
      </c>
      <c r="BA730" s="46" t="s">
        <v>136</v>
      </c>
      <c r="BC730" s="34">
        <f>AW730+AX730</f>
        <v>0</v>
      </c>
      <c r="BD730" s="34">
        <f>H730/(100-BE730)*100</f>
        <v>0</v>
      </c>
      <c r="BE730" s="34">
        <v>0</v>
      </c>
      <c r="BF730" s="34">
        <f>730</f>
        <v>730</v>
      </c>
      <c r="BH730" s="34">
        <f>G730*AO730</f>
        <v>0</v>
      </c>
      <c r="BI730" s="34">
        <f>G730*AP730</f>
        <v>0</v>
      </c>
      <c r="BJ730" s="34">
        <f>G730*H730</f>
        <v>0</v>
      </c>
      <c r="BK730" s="34"/>
      <c r="BL730" s="34">
        <v>766</v>
      </c>
      <c r="BW730" s="34">
        <v>21</v>
      </c>
      <c r="BX730" s="3" t="s">
        <v>1341</v>
      </c>
    </row>
    <row r="731" spans="1:76" x14ac:dyDescent="0.25">
      <c r="A731" s="66"/>
      <c r="D731" s="67" t="s">
        <v>1345</v>
      </c>
      <c r="E731" s="67" t="s">
        <v>1346</v>
      </c>
      <c r="G731" s="68">
        <v>3.2</v>
      </c>
      <c r="K731" s="59"/>
    </row>
    <row r="732" spans="1:76" x14ac:dyDescent="0.25">
      <c r="A732" s="1" t="s">
        <v>1347</v>
      </c>
      <c r="B732" s="2" t="s">
        <v>84</v>
      </c>
      <c r="C732" s="2" t="s">
        <v>1348</v>
      </c>
      <c r="D732" s="86" t="s">
        <v>1341</v>
      </c>
      <c r="E732" s="81"/>
      <c r="F732" s="2" t="s">
        <v>239</v>
      </c>
      <c r="G732" s="34">
        <v>37.450000000000003</v>
      </c>
      <c r="H732" s="64">
        <v>0</v>
      </c>
      <c r="I732" s="34">
        <f>ROUND(G732*H732,2)</f>
        <v>0</v>
      </c>
      <c r="J732" s="65" t="s">
        <v>133</v>
      </c>
      <c r="K732" s="59"/>
      <c r="Z732" s="34">
        <f>ROUND(IF(AQ732="5",BJ732,0),2)</f>
        <v>0</v>
      </c>
      <c r="AB732" s="34">
        <f>ROUND(IF(AQ732="1",BH732,0),2)</f>
        <v>0</v>
      </c>
      <c r="AC732" s="34">
        <f>ROUND(IF(AQ732="1",BI732,0),2)</f>
        <v>0</v>
      </c>
      <c r="AD732" s="34">
        <f>ROUND(IF(AQ732="7",BH732,0),2)</f>
        <v>0</v>
      </c>
      <c r="AE732" s="34">
        <f>ROUND(IF(AQ732="7",BI732,0),2)</f>
        <v>0</v>
      </c>
      <c r="AF732" s="34">
        <f>ROUND(IF(AQ732="2",BH732,0),2)</f>
        <v>0</v>
      </c>
      <c r="AG732" s="34">
        <f>ROUND(IF(AQ732="2",BI732,0),2)</f>
        <v>0</v>
      </c>
      <c r="AH732" s="34">
        <f>ROUND(IF(AQ732="0",BJ732,0),2)</f>
        <v>0</v>
      </c>
      <c r="AI732" s="46" t="s">
        <v>84</v>
      </c>
      <c r="AJ732" s="34">
        <f>IF(AN732=0,I732,0)</f>
        <v>0</v>
      </c>
      <c r="AK732" s="34">
        <f>IF(AN732=12,I732,0)</f>
        <v>0</v>
      </c>
      <c r="AL732" s="34">
        <f>IF(AN732=21,I732,0)</f>
        <v>0</v>
      </c>
      <c r="AN732" s="34">
        <v>21</v>
      </c>
      <c r="AO732" s="34">
        <f>H732*0.70722339</f>
        <v>0</v>
      </c>
      <c r="AP732" s="34">
        <f>H732*(1-0.70722339)</f>
        <v>0</v>
      </c>
      <c r="AQ732" s="65" t="s">
        <v>175</v>
      </c>
      <c r="AV732" s="34">
        <f>ROUND(AW732+AX732,2)</f>
        <v>0</v>
      </c>
      <c r="AW732" s="34">
        <f>ROUND(G732*AO732,2)</f>
        <v>0</v>
      </c>
      <c r="AX732" s="34">
        <f>ROUND(G732*AP732,2)</f>
        <v>0</v>
      </c>
      <c r="AY732" s="65" t="s">
        <v>1275</v>
      </c>
      <c r="AZ732" s="65" t="s">
        <v>1103</v>
      </c>
      <c r="BA732" s="46" t="s">
        <v>136</v>
      </c>
      <c r="BC732" s="34">
        <f>AW732+AX732</f>
        <v>0</v>
      </c>
      <c r="BD732" s="34">
        <f>H732/(100-BE732)*100</f>
        <v>0</v>
      </c>
      <c r="BE732" s="34">
        <v>0</v>
      </c>
      <c r="BF732" s="34">
        <f>732</f>
        <v>732</v>
      </c>
      <c r="BH732" s="34">
        <f>G732*AO732</f>
        <v>0</v>
      </c>
      <c r="BI732" s="34">
        <f>G732*AP732</f>
        <v>0</v>
      </c>
      <c r="BJ732" s="34">
        <f>G732*H732</f>
        <v>0</v>
      </c>
      <c r="BK732" s="34"/>
      <c r="BL732" s="34">
        <v>766</v>
      </c>
      <c r="BW732" s="34">
        <v>21</v>
      </c>
      <c r="BX732" s="3" t="s">
        <v>1341</v>
      </c>
    </row>
    <row r="733" spans="1:76" x14ac:dyDescent="0.25">
      <c r="A733" s="66"/>
      <c r="D733" s="67" t="s">
        <v>1349</v>
      </c>
      <c r="E733" s="67" t="s">
        <v>1350</v>
      </c>
      <c r="G733" s="68">
        <v>37.450000000000003</v>
      </c>
      <c r="K733" s="59"/>
    </row>
    <row r="734" spans="1:76" x14ac:dyDescent="0.25">
      <c r="A734" s="1" t="s">
        <v>1351</v>
      </c>
      <c r="B734" s="2" t="s">
        <v>84</v>
      </c>
      <c r="C734" s="2" t="s">
        <v>1352</v>
      </c>
      <c r="D734" s="86" t="s">
        <v>1353</v>
      </c>
      <c r="E734" s="81"/>
      <c r="F734" s="2" t="s">
        <v>178</v>
      </c>
      <c r="G734" s="34">
        <v>1.8284199999999999</v>
      </c>
      <c r="H734" s="64">
        <v>0</v>
      </c>
      <c r="I734" s="34">
        <f>ROUND(G734*H734,2)</f>
        <v>0</v>
      </c>
      <c r="J734" s="65" t="s">
        <v>133</v>
      </c>
      <c r="K734" s="59"/>
      <c r="Z734" s="34">
        <f>ROUND(IF(AQ734="5",BJ734,0),2)</f>
        <v>0</v>
      </c>
      <c r="AB734" s="34">
        <f>ROUND(IF(AQ734="1",BH734,0),2)</f>
        <v>0</v>
      </c>
      <c r="AC734" s="34">
        <f>ROUND(IF(AQ734="1",BI734,0),2)</f>
        <v>0</v>
      </c>
      <c r="AD734" s="34">
        <f>ROUND(IF(AQ734="7",BH734,0),2)</f>
        <v>0</v>
      </c>
      <c r="AE734" s="34">
        <f>ROUND(IF(AQ734="7",BI734,0),2)</f>
        <v>0</v>
      </c>
      <c r="AF734" s="34">
        <f>ROUND(IF(AQ734="2",BH734,0),2)</f>
        <v>0</v>
      </c>
      <c r="AG734" s="34">
        <f>ROUND(IF(AQ734="2",BI734,0),2)</f>
        <v>0</v>
      </c>
      <c r="AH734" s="34">
        <f>ROUND(IF(AQ734="0",BJ734,0),2)</f>
        <v>0</v>
      </c>
      <c r="AI734" s="46" t="s">
        <v>84</v>
      </c>
      <c r="AJ734" s="34">
        <f>IF(AN734=0,I734,0)</f>
        <v>0</v>
      </c>
      <c r="AK734" s="34">
        <f>IF(AN734=12,I734,0)</f>
        <v>0</v>
      </c>
      <c r="AL734" s="34">
        <f>IF(AN734=21,I734,0)</f>
        <v>0</v>
      </c>
      <c r="AN734" s="34">
        <v>21</v>
      </c>
      <c r="AO734" s="34">
        <f>H734*0</f>
        <v>0</v>
      </c>
      <c r="AP734" s="34">
        <f>H734*(1-0)</f>
        <v>0</v>
      </c>
      <c r="AQ734" s="65" t="s">
        <v>166</v>
      </c>
      <c r="AV734" s="34">
        <f>ROUND(AW734+AX734,2)</f>
        <v>0</v>
      </c>
      <c r="AW734" s="34">
        <f>ROUND(G734*AO734,2)</f>
        <v>0</v>
      </c>
      <c r="AX734" s="34">
        <f>ROUND(G734*AP734,2)</f>
        <v>0</v>
      </c>
      <c r="AY734" s="65" t="s">
        <v>1275</v>
      </c>
      <c r="AZ734" s="65" t="s">
        <v>1103</v>
      </c>
      <c r="BA734" s="46" t="s">
        <v>136</v>
      </c>
      <c r="BC734" s="34">
        <f>AW734+AX734</f>
        <v>0</v>
      </c>
      <c r="BD734" s="34">
        <f>H734/(100-BE734)*100</f>
        <v>0</v>
      </c>
      <c r="BE734" s="34">
        <v>0</v>
      </c>
      <c r="BF734" s="34">
        <f>734</f>
        <v>734</v>
      </c>
      <c r="BH734" s="34">
        <f>G734*AO734</f>
        <v>0</v>
      </c>
      <c r="BI734" s="34">
        <f>G734*AP734</f>
        <v>0</v>
      </c>
      <c r="BJ734" s="34">
        <f>G734*H734</f>
        <v>0</v>
      </c>
      <c r="BK734" s="34"/>
      <c r="BL734" s="34">
        <v>766</v>
      </c>
      <c r="BW734" s="34">
        <v>21</v>
      </c>
      <c r="BX734" s="3" t="s">
        <v>1353</v>
      </c>
    </row>
    <row r="735" spans="1:76" x14ac:dyDescent="0.25">
      <c r="A735" s="60" t="s">
        <v>4</v>
      </c>
      <c r="B735" s="61" t="s">
        <v>84</v>
      </c>
      <c r="C735" s="61" t="s">
        <v>1354</v>
      </c>
      <c r="D735" s="167" t="s">
        <v>1355</v>
      </c>
      <c r="E735" s="168"/>
      <c r="F735" s="62" t="s">
        <v>79</v>
      </c>
      <c r="G735" s="62" t="s">
        <v>79</v>
      </c>
      <c r="H735" s="63" t="s">
        <v>79</v>
      </c>
      <c r="I735" s="39">
        <f>SUM(I736:I771)</f>
        <v>0</v>
      </c>
      <c r="J735" s="46" t="s">
        <v>4</v>
      </c>
      <c r="K735" s="59"/>
      <c r="AI735" s="46" t="s">
        <v>84</v>
      </c>
      <c r="AS735" s="39">
        <f>SUM(AJ736:AJ771)</f>
        <v>0</v>
      </c>
      <c r="AT735" s="39">
        <f>SUM(AK736:AK771)</f>
        <v>0</v>
      </c>
      <c r="AU735" s="39">
        <f>SUM(AL736:AL771)</f>
        <v>0</v>
      </c>
    </row>
    <row r="736" spans="1:76" x14ac:dyDescent="0.25">
      <c r="A736" s="1" t="s">
        <v>1356</v>
      </c>
      <c r="B736" s="2" t="s">
        <v>84</v>
      </c>
      <c r="C736" s="2" t="s">
        <v>1357</v>
      </c>
      <c r="D736" s="86" t="s">
        <v>1358</v>
      </c>
      <c r="E736" s="81"/>
      <c r="F736" s="2" t="s">
        <v>1359</v>
      </c>
      <c r="G736" s="34">
        <v>33</v>
      </c>
      <c r="H736" s="64">
        <v>0</v>
      </c>
      <c r="I736" s="34">
        <f>ROUND(G736*H736,2)</f>
        <v>0</v>
      </c>
      <c r="J736" s="65" t="s">
        <v>133</v>
      </c>
      <c r="K736" s="59"/>
      <c r="Z736" s="34">
        <f>ROUND(IF(AQ736="5",BJ736,0),2)</f>
        <v>0</v>
      </c>
      <c r="AB736" s="34">
        <f>ROUND(IF(AQ736="1",BH736,0),2)</f>
        <v>0</v>
      </c>
      <c r="AC736" s="34">
        <f>ROUND(IF(AQ736="1",BI736,0),2)</f>
        <v>0</v>
      </c>
      <c r="AD736" s="34">
        <f>ROUND(IF(AQ736="7",BH736,0),2)</f>
        <v>0</v>
      </c>
      <c r="AE736" s="34">
        <f>ROUND(IF(AQ736="7",BI736,0),2)</f>
        <v>0</v>
      </c>
      <c r="AF736" s="34">
        <f>ROUND(IF(AQ736="2",BH736,0),2)</f>
        <v>0</v>
      </c>
      <c r="AG736" s="34">
        <f>ROUND(IF(AQ736="2",BI736,0),2)</f>
        <v>0</v>
      </c>
      <c r="AH736" s="34">
        <f>ROUND(IF(AQ736="0",BJ736,0),2)</f>
        <v>0</v>
      </c>
      <c r="AI736" s="46" t="s">
        <v>84</v>
      </c>
      <c r="AJ736" s="34">
        <f>IF(AN736=0,I736,0)</f>
        <v>0</v>
      </c>
      <c r="AK736" s="34">
        <f>IF(AN736=12,I736,0)</f>
        <v>0</v>
      </c>
      <c r="AL736" s="34">
        <f>IF(AN736=21,I736,0)</f>
        <v>0</v>
      </c>
      <c r="AN736" s="34">
        <v>21</v>
      </c>
      <c r="AO736" s="34">
        <f>H736*0.166712329</f>
        <v>0</v>
      </c>
      <c r="AP736" s="34">
        <f>H736*(1-0.166712329)</f>
        <v>0</v>
      </c>
      <c r="AQ736" s="65" t="s">
        <v>175</v>
      </c>
      <c r="AV736" s="34">
        <f>ROUND(AW736+AX736,2)</f>
        <v>0</v>
      </c>
      <c r="AW736" s="34">
        <f>ROUND(G736*AO736,2)</f>
        <v>0</v>
      </c>
      <c r="AX736" s="34">
        <f>ROUND(G736*AP736,2)</f>
        <v>0</v>
      </c>
      <c r="AY736" s="65" t="s">
        <v>1360</v>
      </c>
      <c r="AZ736" s="65" t="s">
        <v>1103</v>
      </c>
      <c r="BA736" s="46" t="s">
        <v>136</v>
      </c>
      <c r="BC736" s="34">
        <f>AW736+AX736</f>
        <v>0</v>
      </c>
      <c r="BD736" s="34">
        <f>H736/(100-BE736)*100</f>
        <v>0</v>
      </c>
      <c r="BE736" s="34">
        <v>0</v>
      </c>
      <c r="BF736" s="34">
        <f>736</f>
        <v>736</v>
      </c>
      <c r="BH736" s="34">
        <f>G736*AO736</f>
        <v>0</v>
      </c>
      <c r="BI736" s="34">
        <f>G736*AP736</f>
        <v>0</v>
      </c>
      <c r="BJ736" s="34">
        <f>G736*H736</f>
        <v>0</v>
      </c>
      <c r="BK736" s="34"/>
      <c r="BL736" s="34">
        <v>767</v>
      </c>
      <c r="BW736" s="34">
        <v>21</v>
      </c>
      <c r="BX736" s="3" t="s">
        <v>1358</v>
      </c>
    </row>
    <row r="737" spans="1:76" x14ac:dyDescent="0.25">
      <c r="A737" s="66"/>
      <c r="D737" s="67" t="s">
        <v>189</v>
      </c>
      <c r="E737" s="67" t="s">
        <v>1361</v>
      </c>
      <c r="G737" s="68">
        <v>9</v>
      </c>
      <c r="K737" s="59"/>
    </row>
    <row r="738" spans="1:76" x14ac:dyDescent="0.25">
      <c r="A738" s="66"/>
      <c r="D738" s="67" t="s">
        <v>298</v>
      </c>
      <c r="E738" s="67" t="s">
        <v>1362</v>
      </c>
      <c r="G738" s="68">
        <v>24</v>
      </c>
      <c r="K738" s="59"/>
    </row>
    <row r="739" spans="1:76" x14ac:dyDescent="0.25">
      <c r="A739" s="1" t="s">
        <v>1363</v>
      </c>
      <c r="B739" s="2" t="s">
        <v>84</v>
      </c>
      <c r="C739" s="2" t="s">
        <v>1364</v>
      </c>
      <c r="D739" s="86" t="s">
        <v>1365</v>
      </c>
      <c r="E739" s="81"/>
      <c r="F739" s="2" t="s">
        <v>1359</v>
      </c>
      <c r="G739" s="34">
        <v>8350.5</v>
      </c>
      <c r="H739" s="64">
        <v>0</v>
      </c>
      <c r="I739" s="34">
        <f>ROUND(G739*H739,2)</f>
        <v>0</v>
      </c>
      <c r="J739" s="65" t="s">
        <v>398</v>
      </c>
      <c r="K739" s="59"/>
      <c r="Z739" s="34">
        <f>ROUND(IF(AQ739="5",BJ739,0),2)</f>
        <v>0</v>
      </c>
      <c r="AB739" s="34">
        <f>ROUND(IF(AQ739="1",BH739,0),2)</f>
        <v>0</v>
      </c>
      <c r="AC739" s="34">
        <f>ROUND(IF(AQ739="1",BI739,0),2)</f>
        <v>0</v>
      </c>
      <c r="AD739" s="34">
        <f>ROUND(IF(AQ739="7",BH739,0),2)</f>
        <v>0</v>
      </c>
      <c r="AE739" s="34">
        <f>ROUND(IF(AQ739="7",BI739,0),2)</f>
        <v>0</v>
      </c>
      <c r="AF739" s="34">
        <f>ROUND(IF(AQ739="2",BH739,0),2)</f>
        <v>0</v>
      </c>
      <c r="AG739" s="34">
        <f>ROUND(IF(AQ739="2",BI739,0),2)</f>
        <v>0</v>
      </c>
      <c r="AH739" s="34">
        <f>ROUND(IF(AQ739="0",BJ739,0),2)</f>
        <v>0</v>
      </c>
      <c r="AI739" s="46" t="s">
        <v>84</v>
      </c>
      <c r="AJ739" s="34">
        <f>IF(AN739=0,I739,0)</f>
        <v>0</v>
      </c>
      <c r="AK739" s="34">
        <f>IF(AN739=12,I739,0)</f>
        <v>0</v>
      </c>
      <c r="AL739" s="34">
        <f>IF(AN739=21,I739,0)</f>
        <v>0</v>
      </c>
      <c r="AN739" s="34">
        <v>21</v>
      </c>
      <c r="AO739" s="34">
        <f>H739*0.735003982</f>
        <v>0</v>
      </c>
      <c r="AP739" s="34">
        <f>H739*(1-0.735003982)</f>
        <v>0</v>
      </c>
      <c r="AQ739" s="65" t="s">
        <v>175</v>
      </c>
      <c r="AV739" s="34">
        <f>ROUND(AW739+AX739,2)</f>
        <v>0</v>
      </c>
      <c r="AW739" s="34">
        <f>ROUND(G739*AO739,2)</f>
        <v>0</v>
      </c>
      <c r="AX739" s="34">
        <f>ROUND(G739*AP739,2)</f>
        <v>0</v>
      </c>
      <c r="AY739" s="65" t="s">
        <v>1360</v>
      </c>
      <c r="AZ739" s="65" t="s">
        <v>1103</v>
      </c>
      <c r="BA739" s="46" t="s">
        <v>136</v>
      </c>
      <c r="BC739" s="34">
        <f>AW739+AX739</f>
        <v>0</v>
      </c>
      <c r="BD739" s="34">
        <f>H739/(100-BE739)*100</f>
        <v>0</v>
      </c>
      <c r="BE739" s="34">
        <v>0</v>
      </c>
      <c r="BF739" s="34">
        <f>739</f>
        <v>739</v>
      </c>
      <c r="BH739" s="34">
        <f>G739*AO739</f>
        <v>0</v>
      </c>
      <c r="BI739" s="34">
        <f>G739*AP739</f>
        <v>0</v>
      </c>
      <c r="BJ739" s="34">
        <f>G739*H739</f>
        <v>0</v>
      </c>
      <c r="BK739" s="34"/>
      <c r="BL739" s="34">
        <v>767</v>
      </c>
      <c r="BW739" s="34">
        <v>21</v>
      </c>
      <c r="BX739" s="3" t="s">
        <v>1365</v>
      </c>
    </row>
    <row r="740" spans="1:76" ht="13.5" customHeight="1" x14ac:dyDescent="0.25">
      <c r="A740" s="66"/>
      <c r="C740" s="69" t="s">
        <v>204</v>
      </c>
      <c r="D740" s="169" t="s">
        <v>1366</v>
      </c>
      <c r="E740" s="170"/>
      <c r="F740" s="170"/>
      <c r="G740" s="170"/>
      <c r="H740" s="171"/>
      <c r="I740" s="170"/>
      <c r="J740" s="170"/>
      <c r="K740" s="172"/>
    </row>
    <row r="741" spans="1:76" x14ac:dyDescent="0.25">
      <c r="A741" s="66"/>
      <c r="D741" s="67" t="s">
        <v>1367</v>
      </c>
      <c r="E741" s="67" t="s">
        <v>1368</v>
      </c>
      <c r="G741" s="68">
        <v>8350.5</v>
      </c>
      <c r="K741" s="59"/>
    </row>
    <row r="742" spans="1:76" x14ac:dyDescent="0.25">
      <c r="A742" s="1" t="s">
        <v>1369</v>
      </c>
      <c r="B742" s="2" t="s">
        <v>84</v>
      </c>
      <c r="C742" s="2" t="s">
        <v>1364</v>
      </c>
      <c r="D742" s="86" t="s">
        <v>1370</v>
      </c>
      <c r="E742" s="81"/>
      <c r="F742" s="2" t="s">
        <v>1359</v>
      </c>
      <c r="G742" s="34">
        <v>598.74</v>
      </c>
      <c r="H742" s="64">
        <v>0</v>
      </c>
      <c r="I742" s="34">
        <f>ROUND(G742*H742,2)</f>
        <v>0</v>
      </c>
      <c r="J742" s="65" t="s">
        <v>398</v>
      </c>
      <c r="K742" s="59"/>
      <c r="Z742" s="34">
        <f>ROUND(IF(AQ742="5",BJ742,0),2)</f>
        <v>0</v>
      </c>
      <c r="AB742" s="34">
        <f>ROUND(IF(AQ742="1",BH742,0),2)</f>
        <v>0</v>
      </c>
      <c r="AC742" s="34">
        <f>ROUND(IF(AQ742="1",BI742,0),2)</f>
        <v>0</v>
      </c>
      <c r="AD742" s="34">
        <f>ROUND(IF(AQ742="7",BH742,0),2)</f>
        <v>0</v>
      </c>
      <c r="AE742" s="34">
        <f>ROUND(IF(AQ742="7",BI742,0),2)</f>
        <v>0</v>
      </c>
      <c r="AF742" s="34">
        <f>ROUND(IF(AQ742="2",BH742,0),2)</f>
        <v>0</v>
      </c>
      <c r="AG742" s="34">
        <f>ROUND(IF(AQ742="2",BI742,0),2)</f>
        <v>0</v>
      </c>
      <c r="AH742" s="34">
        <f>ROUND(IF(AQ742="0",BJ742,0),2)</f>
        <v>0</v>
      </c>
      <c r="AI742" s="46" t="s">
        <v>84</v>
      </c>
      <c r="AJ742" s="34">
        <f>IF(AN742=0,I742,0)</f>
        <v>0</v>
      </c>
      <c r="AK742" s="34">
        <f>IF(AN742=12,I742,0)</f>
        <v>0</v>
      </c>
      <c r="AL742" s="34">
        <f>IF(AN742=21,I742,0)</f>
        <v>0</v>
      </c>
      <c r="AN742" s="34">
        <v>21</v>
      </c>
      <c r="AO742" s="34">
        <f>H742*0.735003977</f>
        <v>0</v>
      </c>
      <c r="AP742" s="34">
        <f>H742*(1-0.735003977)</f>
        <v>0</v>
      </c>
      <c r="AQ742" s="65" t="s">
        <v>175</v>
      </c>
      <c r="AV742" s="34">
        <f>ROUND(AW742+AX742,2)</f>
        <v>0</v>
      </c>
      <c r="AW742" s="34">
        <f>ROUND(G742*AO742,2)</f>
        <v>0</v>
      </c>
      <c r="AX742" s="34">
        <f>ROUND(G742*AP742,2)</f>
        <v>0</v>
      </c>
      <c r="AY742" s="65" t="s">
        <v>1360</v>
      </c>
      <c r="AZ742" s="65" t="s">
        <v>1103</v>
      </c>
      <c r="BA742" s="46" t="s">
        <v>136</v>
      </c>
      <c r="BC742" s="34">
        <f>AW742+AX742</f>
        <v>0</v>
      </c>
      <c r="BD742" s="34">
        <f>H742/(100-BE742)*100</f>
        <v>0</v>
      </c>
      <c r="BE742" s="34">
        <v>0</v>
      </c>
      <c r="BF742" s="34">
        <f>742</f>
        <v>742</v>
      </c>
      <c r="BH742" s="34">
        <f>G742*AO742</f>
        <v>0</v>
      </c>
      <c r="BI742" s="34">
        <f>G742*AP742</f>
        <v>0</v>
      </c>
      <c r="BJ742" s="34">
        <f>G742*H742</f>
        <v>0</v>
      </c>
      <c r="BK742" s="34"/>
      <c r="BL742" s="34">
        <v>767</v>
      </c>
      <c r="BW742" s="34">
        <v>21</v>
      </c>
      <c r="BX742" s="3" t="s">
        <v>1370</v>
      </c>
    </row>
    <row r="743" spans="1:76" ht="13.5" customHeight="1" x14ac:dyDescent="0.25">
      <c r="A743" s="66"/>
      <c r="C743" s="69" t="s">
        <v>204</v>
      </c>
      <c r="D743" s="169" t="s">
        <v>1371</v>
      </c>
      <c r="E743" s="170"/>
      <c r="F743" s="170"/>
      <c r="G743" s="170"/>
      <c r="H743" s="171"/>
      <c r="I743" s="170"/>
      <c r="J743" s="170"/>
      <c r="K743" s="172"/>
    </row>
    <row r="744" spans="1:76" x14ac:dyDescent="0.25">
      <c r="A744" s="66"/>
      <c r="D744" s="67" t="s">
        <v>1372</v>
      </c>
      <c r="E744" s="67" t="s">
        <v>1368</v>
      </c>
      <c r="G744" s="68">
        <v>598.74</v>
      </c>
      <c r="K744" s="59"/>
    </row>
    <row r="745" spans="1:76" x14ac:dyDescent="0.25">
      <c r="A745" s="1" t="s">
        <v>1373</v>
      </c>
      <c r="B745" s="2" t="s">
        <v>84</v>
      </c>
      <c r="C745" s="2" t="s">
        <v>1374</v>
      </c>
      <c r="D745" s="86" t="s">
        <v>1375</v>
      </c>
      <c r="E745" s="81"/>
      <c r="F745" s="2" t="s">
        <v>1359</v>
      </c>
      <c r="G745" s="34">
        <v>2125.0500000000002</v>
      </c>
      <c r="H745" s="64">
        <v>0</v>
      </c>
      <c r="I745" s="34">
        <f>ROUND(G745*H745,2)</f>
        <v>0</v>
      </c>
      <c r="J745" s="65" t="s">
        <v>398</v>
      </c>
      <c r="K745" s="59"/>
      <c r="Z745" s="34">
        <f>ROUND(IF(AQ745="5",BJ745,0),2)</f>
        <v>0</v>
      </c>
      <c r="AB745" s="34">
        <f>ROUND(IF(AQ745="1",BH745,0),2)</f>
        <v>0</v>
      </c>
      <c r="AC745" s="34">
        <f>ROUND(IF(AQ745="1",BI745,0),2)</f>
        <v>0</v>
      </c>
      <c r="AD745" s="34">
        <f>ROUND(IF(AQ745="7",BH745,0),2)</f>
        <v>0</v>
      </c>
      <c r="AE745" s="34">
        <f>ROUND(IF(AQ745="7",BI745,0),2)</f>
        <v>0</v>
      </c>
      <c r="AF745" s="34">
        <f>ROUND(IF(AQ745="2",BH745,0),2)</f>
        <v>0</v>
      </c>
      <c r="AG745" s="34">
        <f>ROUND(IF(AQ745="2",BI745,0),2)</f>
        <v>0</v>
      </c>
      <c r="AH745" s="34">
        <f>ROUND(IF(AQ745="0",BJ745,0),2)</f>
        <v>0</v>
      </c>
      <c r="AI745" s="46" t="s">
        <v>84</v>
      </c>
      <c r="AJ745" s="34">
        <f>IF(AN745=0,I745,0)</f>
        <v>0</v>
      </c>
      <c r="AK745" s="34">
        <f>IF(AN745=12,I745,0)</f>
        <v>0</v>
      </c>
      <c r="AL745" s="34">
        <f>IF(AN745=21,I745,0)</f>
        <v>0</v>
      </c>
      <c r="AN745" s="34">
        <v>21</v>
      </c>
      <c r="AO745" s="34">
        <f>H745*0.575833404</f>
        <v>0</v>
      </c>
      <c r="AP745" s="34">
        <f>H745*(1-0.575833404)</f>
        <v>0</v>
      </c>
      <c r="AQ745" s="65" t="s">
        <v>175</v>
      </c>
      <c r="AV745" s="34">
        <f>ROUND(AW745+AX745,2)</f>
        <v>0</v>
      </c>
      <c r="AW745" s="34">
        <f>ROUND(G745*AO745,2)</f>
        <v>0</v>
      </c>
      <c r="AX745" s="34">
        <f>ROUND(G745*AP745,2)</f>
        <v>0</v>
      </c>
      <c r="AY745" s="65" t="s">
        <v>1360</v>
      </c>
      <c r="AZ745" s="65" t="s">
        <v>1103</v>
      </c>
      <c r="BA745" s="46" t="s">
        <v>136</v>
      </c>
      <c r="BC745" s="34">
        <f>AW745+AX745</f>
        <v>0</v>
      </c>
      <c r="BD745" s="34">
        <f>H745/(100-BE745)*100</f>
        <v>0</v>
      </c>
      <c r="BE745" s="34">
        <v>0</v>
      </c>
      <c r="BF745" s="34">
        <f>745</f>
        <v>745</v>
      </c>
      <c r="BH745" s="34">
        <f>G745*AO745</f>
        <v>0</v>
      </c>
      <c r="BI745" s="34">
        <f>G745*AP745</f>
        <v>0</v>
      </c>
      <c r="BJ745" s="34">
        <f>G745*H745</f>
        <v>0</v>
      </c>
      <c r="BK745" s="34"/>
      <c r="BL745" s="34">
        <v>767</v>
      </c>
      <c r="BW745" s="34">
        <v>21</v>
      </c>
      <c r="BX745" s="3" t="s">
        <v>1375</v>
      </c>
    </row>
    <row r="746" spans="1:76" ht="13.5" customHeight="1" x14ac:dyDescent="0.25">
      <c r="A746" s="66"/>
      <c r="C746" s="69" t="s">
        <v>204</v>
      </c>
      <c r="D746" s="169" t="s">
        <v>1376</v>
      </c>
      <c r="E746" s="170"/>
      <c r="F746" s="170"/>
      <c r="G746" s="170"/>
      <c r="H746" s="171"/>
      <c r="I746" s="170"/>
      <c r="J746" s="170"/>
      <c r="K746" s="172"/>
    </row>
    <row r="747" spans="1:76" x14ac:dyDescent="0.25">
      <c r="A747" s="66"/>
      <c r="D747" s="67" t="s">
        <v>1377</v>
      </c>
      <c r="E747" s="67" t="s">
        <v>4</v>
      </c>
      <c r="G747" s="68">
        <v>2125.0500000000002</v>
      </c>
      <c r="K747" s="59"/>
    </row>
    <row r="748" spans="1:76" x14ac:dyDescent="0.25">
      <c r="A748" s="1" t="s">
        <v>1378</v>
      </c>
      <c r="B748" s="2" t="s">
        <v>84</v>
      </c>
      <c r="C748" s="2" t="s">
        <v>1379</v>
      </c>
      <c r="D748" s="86" t="s">
        <v>1380</v>
      </c>
      <c r="E748" s="81"/>
      <c r="F748" s="2" t="s">
        <v>132</v>
      </c>
      <c r="G748" s="34">
        <v>495</v>
      </c>
      <c r="H748" s="64">
        <v>0</v>
      </c>
      <c r="I748" s="34">
        <f>ROUND(G748*H748,2)</f>
        <v>0</v>
      </c>
      <c r="J748" s="65" t="s">
        <v>133</v>
      </c>
      <c r="K748" s="59"/>
      <c r="Z748" s="34">
        <f>ROUND(IF(AQ748="5",BJ748,0),2)</f>
        <v>0</v>
      </c>
      <c r="AB748" s="34">
        <f>ROUND(IF(AQ748="1",BH748,0),2)</f>
        <v>0</v>
      </c>
      <c r="AC748" s="34">
        <f>ROUND(IF(AQ748="1",BI748,0),2)</f>
        <v>0</v>
      </c>
      <c r="AD748" s="34">
        <f>ROUND(IF(AQ748="7",BH748,0),2)</f>
        <v>0</v>
      </c>
      <c r="AE748" s="34">
        <f>ROUND(IF(AQ748="7",BI748,0),2)</f>
        <v>0</v>
      </c>
      <c r="AF748" s="34">
        <f>ROUND(IF(AQ748="2",BH748,0),2)</f>
        <v>0</v>
      </c>
      <c r="AG748" s="34">
        <f>ROUND(IF(AQ748="2",BI748,0),2)</f>
        <v>0</v>
      </c>
      <c r="AH748" s="34">
        <f>ROUND(IF(AQ748="0",BJ748,0),2)</f>
        <v>0</v>
      </c>
      <c r="AI748" s="46" t="s">
        <v>84</v>
      </c>
      <c r="AJ748" s="34">
        <f>IF(AN748=0,I748,0)</f>
        <v>0</v>
      </c>
      <c r="AK748" s="34">
        <f>IF(AN748=12,I748,0)</f>
        <v>0</v>
      </c>
      <c r="AL748" s="34">
        <f>IF(AN748=21,I748,0)</f>
        <v>0</v>
      </c>
      <c r="AN748" s="34">
        <v>21</v>
      </c>
      <c r="AO748" s="34">
        <f>H748*0.658987486</f>
        <v>0</v>
      </c>
      <c r="AP748" s="34">
        <f>H748*(1-0.658987486)</f>
        <v>0</v>
      </c>
      <c r="AQ748" s="65" t="s">
        <v>175</v>
      </c>
      <c r="AV748" s="34">
        <f>ROUND(AW748+AX748,2)</f>
        <v>0</v>
      </c>
      <c r="AW748" s="34">
        <f>ROUND(G748*AO748,2)</f>
        <v>0</v>
      </c>
      <c r="AX748" s="34">
        <f>ROUND(G748*AP748,2)</f>
        <v>0</v>
      </c>
      <c r="AY748" s="65" t="s">
        <v>1360</v>
      </c>
      <c r="AZ748" s="65" t="s">
        <v>1103</v>
      </c>
      <c r="BA748" s="46" t="s">
        <v>136</v>
      </c>
      <c r="BC748" s="34">
        <f>AW748+AX748</f>
        <v>0</v>
      </c>
      <c r="BD748" s="34">
        <f>H748/(100-BE748)*100</f>
        <v>0</v>
      </c>
      <c r="BE748" s="34">
        <v>0</v>
      </c>
      <c r="BF748" s="34">
        <f>748</f>
        <v>748</v>
      </c>
      <c r="BH748" s="34">
        <f>G748*AO748</f>
        <v>0</v>
      </c>
      <c r="BI748" s="34">
        <f>G748*AP748</f>
        <v>0</v>
      </c>
      <c r="BJ748" s="34">
        <f>G748*H748</f>
        <v>0</v>
      </c>
      <c r="BK748" s="34"/>
      <c r="BL748" s="34">
        <v>767</v>
      </c>
      <c r="BW748" s="34">
        <v>21</v>
      </c>
      <c r="BX748" s="3" t="s">
        <v>1380</v>
      </c>
    </row>
    <row r="749" spans="1:76" ht="13.5" customHeight="1" x14ac:dyDescent="0.25">
      <c r="A749" s="66"/>
      <c r="C749" s="69" t="s">
        <v>204</v>
      </c>
      <c r="D749" s="169" t="s">
        <v>1381</v>
      </c>
      <c r="E749" s="170"/>
      <c r="F749" s="170"/>
      <c r="G749" s="170"/>
      <c r="H749" s="171"/>
      <c r="I749" s="170"/>
      <c r="J749" s="170"/>
      <c r="K749" s="172"/>
    </row>
    <row r="750" spans="1:76" x14ac:dyDescent="0.25">
      <c r="A750" s="66"/>
      <c r="D750" s="67" t="s">
        <v>1382</v>
      </c>
      <c r="E750" s="67" t="s">
        <v>1074</v>
      </c>
      <c r="G750" s="68">
        <v>255</v>
      </c>
      <c r="K750" s="59"/>
    </row>
    <row r="751" spans="1:76" x14ac:dyDescent="0.25">
      <c r="A751" s="66"/>
      <c r="D751" s="67" t="s">
        <v>1383</v>
      </c>
      <c r="E751" s="67" t="s">
        <v>1075</v>
      </c>
      <c r="G751" s="68">
        <v>240</v>
      </c>
      <c r="K751" s="59"/>
    </row>
    <row r="752" spans="1:76" x14ac:dyDescent="0.25">
      <c r="A752" s="1" t="s">
        <v>1384</v>
      </c>
      <c r="B752" s="2" t="s">
        <v>84</v>
      </c>
      <c r="C752" s="2" t="s">
        <v>1385</v>
      </c>
      <c r="D752" s="86" t="s">
        <v>1380</v>
      </c>
      <c r="E752" s="81"/>
      <c r="F752" s="2" t="s">
        <v>132</v>
      </c>
      <c r="G752" s="34">
        <v>460</v>
      </c>
      <c r="H752" s="64">
        <v>0</v>
      </c>
      <c r="I752" s="34">
        <f>ROUND(G752*H752,2)</f>
        <v>0</v>
      </c>
      <c r="J752" s="65" t="s">
        <v>133</v>
      </c>
      <c r="K752" s="59"/>
      <c r="Z752" s="34">
        <f>ROUND(IF(AQ752="5",BJ752,0),2)</f>
        <v>0</v>
      </c>
      <c r="AB752" s="34">
        <f>ROUND(IF(AQ752="1",BH752,0),2)</f>
        <v>0</v>
      </c>
      <c r="AC752" s="34">
        <f>ROUND(IF(AQ752="1",BI752,0),2)</f>
        <v>0</v>
      </c>
      <c r="AD752" s="34">
        <f>ROUND(IF(AQ752="7",BH752,0),2)</f>
        <v>0</v>
      </c>
      <c r="AE752" s="34">
        <f>ROUND(IF(AQ752="7",BI752,0),2)</f>
        <v>0</v>
      </c>
      <c r="AF752" s="34">
        <f>ROUND(IF(AQ752="2",BH752,0),2)</f>
        <v>0</v>
      </c>
      <c r="AG752" s="34">
        <f>ROUND(IF(AQ752="2",BI752,0),2)</f>
        <v>0</v>
      </c>
      <c r="AH752" s="34">
        <f>ROUND(IF(AQ752="0",BJ752,0),2)</f>
        <v>0</v>
      </c>
      <c r="AI752" s="46" t="s">
        <v>84</v>
      </c>
      <c r="AJ752" s="34">
        <f>IF(AN752=0,I752,0)</f>
        <v>0</v>
      </c>
      <c r="AK752" s="34">
        <f>IF(AN752=12,I752,0)</f>
        <v>0</v>
      </c>
      <c r="AL752" s="34">
        <f>IF(AN752=21,I752,0)</f>
        <v>0</v>
      </c>
      <c r="AN752" s="34">
        <v>21</v>
      </c>
      <c r="AO752" s="34">
        <f>H752*0.75550571</f>
        <v>0</v>
      </c>
      <c r="AP752" s="34">
        <f>H752*(1-0.75550571)</f>
        <v>0</v>
      </c>
      <c r="AQ752" s="65" t="s">
        <v>175</v>
      </c>
      <c r="AV752" s="34">
        <f>ROUND(AW752+AX752,2)</f>
        <v>0</v>
      </c>
      <c r="AW752" s="34">
        <f>ROUND(G752*AO752,2)</f>
        <v>0</v>
      </c>
      <c r="AX752" s="34">
        <f>ROUND(G752*AP752,2)</f>
        <v>0</v>
      </c>
      <c r="AY752" s="65" t="s">
        <v>1360</v>
      </c>
      <c r="AZ752" s="65" t="s">
        <v>1103</v>
      </c>
      <c r="BA752" s="46" t="s">
        <v>136</v>
      </c>
      <c r="BC752" s="34">
        <f>AW752+AX752</f>
        <v>0</v>
      </c>
      <c r="BD752" s="34">
        <f>H752/(100-BE752)*100</f>
        <v>0</v>
      </c>
      <c r="BE752" s="34">
        <v>0</v>
      </c>
      <c r="BF752" s="34">
        <f>752</f>
        <v>752</v>
      </c>
      <c r="BH752" s="34">
        <f>G752*AO752</f>
        <v>0</v>
      </c>
      <c r="BI752" s="34">
        <f>G752*AP752</f>
        <v>0</v>
      </c>
      <c r="BJ752" s="34">
        <f>G752*H752</f>
        <v>0</v>
      </c>
      <c r="BK752" s="34"/>
      <c r="BL752" s="34">
        <v>767</v>
      </c>
      <c r="BW752" s="34">
        <v>21</v>
      </c>
      <c r="BX752" s="3" t="s">
        <v>1380</v>
      </c>
    </row>
    <row r="753" spans="1:76" ht="13.5" customHeight="1" x14ac:dyDescent="0.25">
      <c r="A753" s="66"/>
      <c r="C753" s="69" t="s">
        <v>204</v>
      </c>
      <c r="D753" s="169" t="s">
        <v>1386</v>
      </c>
      <c r="E753" s="170"/>
      <c r="F753" s="170"/>
      <c r="G753" s="170"/>
      <c r="H753" s="171"/>
      <c r="I753" s="170"/>
      <c r="J753" s="170"/>
      <c r="K753" s="172"/>
    </row>
    <row r="754" spans="1:76" x14ac:dyDescent="0.25">
      <c r="A754" s="66"/>
      <c r="D754" s="67" t="s">
        <v>1387</v>
      </c>
      <c r="E754" s="67" t="s">
        <v>1074</v>
      </c>
      <c r="G754" s="68">
        <v>230</v>
      </c>
      <c r="K754" s="59"/>
    </row>
    <row r="755" spans="1:76" x14ac:dyDescent="0.25">
      <c r="A755" s="66"/>
      <c r="D755" s="67" t="s">
        <v>1387</v>
      </c>
      <c r="E755" s="67" t="s">
        <v>1075</v>
      </c>
      <c r="G755" s="68">
        <v>230</v>
      </c>
      <c r="K755" s="59"/>
    </row>
    <row r="756" spans="1:76" x14ac:dyDescent="0.25">
      <c r="A756" s="1" t="s">
        <v>1388</v>
      </c>
      <c r="B756" s="2" t="s">
        <v>84</v>
      </c>
      <c r="C756" s="2" t="s">
        <v>1389</v>
      </c>
      <c r="D756" s="86" t="s">
        <v>1390</v>
      </c>
      <c r="E756" s="81"/>
      <c r="F756" s="2" t="s">
        <v>1359</v>
      </c>
      <c r="G756" s="34">
        <v>167.5</v>
      </c>
      <c r="H756" s="64">
        <v>0</v>
      </c>
      <c r="I756" s="34">
        <f>ROUND(G756*H756,2)</f>
        <v>0</v>
      </c>
      <c r="J756" s="65" t="s">
        <v>398</v>
      </c>
      <c r="K756" s="59"/>
      <c r="Z756" s="34">
        <f>ROUND(IF(AQ756="5",BJ756,0),2)</f>
        <v>0</v>
      </c>
      <c r="AB756" s="34">
        <f>ROUND(IF(AQ756="1",BH756,0),2)</f>
        <v>0</v>
      </c>
      <c r="AC756" s="34">
        <f>ROUND(IF(AQ756="1",BI756,0),2)</f>
        <v>0</v>
      </c>
      <c r="AD756" s="34">
        <f>ROUND(IF(AQ756="7",BH756,0),2)</f>
        <v>0</v>
      </c>
      <c r="AE756" s="34">
        <f>ROUND(IF(AQ756="7",BI756,0),2)</f>
        <v>0</v>
      </c>
      <c r="AF756" s="34">
        <f>ROUND(IF(AQ756="2",BH756,0),2)</f>
        <v>0</v>
      </c>
      <c r="AG756" s="34">
        <f>ROUND(IF(AQ756="2",BI756,0),2)</f>
        <v>0</v>
      </c>
      <c r="AH756" s="34">
        <f>ROUND(IF(AQ756="0",BJ756,0),2)</f>
        <v>0</v>
      </c>
      <c r="AI756" s="46" t="s">
        <v>84</v>
      </c>
      <c r="AJ756" s="34">
        <f>IF(AN756=0,I756,0)</f>
        <v>0</v>
      </c>
      <c r="AK756" s="34">
        <f>IF(AN756=12,I756,0)</f>
        <v>0</v>
      </c>
      <c r="AL756" s="34">
        <f>IF(AN756=21,I756,0)</f>
        <v>0</v>
      </c>
      <c r="AN756" s="34">
        <v>21</v>
      </c>
      <c r="AO756" s="34">
        <f>H756*0.74019245</f>
        <v>0</v>
      </c>
      <c r="AP756" s="34">
        <f>H756*(1-0.74019245)</f>
        <v>0</v>
      </c>
      <c r="AQ756" s="65" t="s">
        <v>175</v>
      </c>
      <c r="AV756" s="34">
        <f>ROUND(AW756+AX756,2)</f>
        <v>0</v>
      </c>
      <c r="AW756" s="34">
        <f>ROUND(G756*AO756,2)</f>
        <v>0</v>
      </c>
      <c r="AX756" s="34">
        <f>ROUND(G756*AP756,2)</f>
        <v>0</v>
      </c>
      <c r="AY756" s="65" t="s">
        <v>1360</v>
      </c>
      <c r="AZ756" s="65" t="s">
        <v>1103</v>
      </c>
      <c r="BA756" s="46" t="s">
        <v>136</v>
      </c>
      <c r="BC756" s="34">
        <f>AW756+AX756</f>
        <v>0</v>
      </c>
      <c r="BD756" s="34">
        <f>H756/(100-BE756)*100</f>
        <v>0</v>
      </c>
      <c r="BE756" s="34">
        <v>0</v>
      </c>
      <c r="BF756" s="34">
        <f>756</f>
        <v>756</v>
      </c>
      <c r="BH756" s="34">
        <f>G756*AO756</f>
        <v>0</v>
      </c>
      <c r="BI756" s="34">
        <f>G756*AP756</f>
        <v>0</v>
      </c>
      <c r="BJ756" s="34">
        <f>G756*H756</f>
        <v>0</v>
      </c>
      <c r="BK756" s="34"/>
      <c r="BL756" s="34">
        <v>767</v>
      </c>
      <c r="BW756" s="34">
        <v>21</v>
      </c>
      <c r="BX756" s="3" t="s">
        <v>1390</v>
      </c>
    </row>
    <row r="757" spans="1:76" ht="13.5" customHeight="1" x14ac:dyDescent="0.25">
      <c r="A757" s="66"/>
      <c r="C757" s="69" t="s">
        <v>204</v>
      </c>
      <c r="D757" s="169" t="s">
        <v>1391</v>
      </c>
      <c r="E757" s="170"/>
      <c r="F757" s="170"/>
      <c r="G757" s="170"/>
      <c r="H757" s="171"/>
      <c r="I757" s="170"/>
      <c r="J757" s="170"/>
      <c r="K757" s="172"/>
    </row>
    <row r="758" spans="1:76" x14ac:dyDescent="0.25">
      <c r="A758" s="66"/>
      <c r="D758" s="67" t="s">
        <v>1392</v>
      </c>
      <c r="E758" s="67" t="s">
        <v>4</v>
      </c>
      <c r="G758" s="68">
        <v>167.5</v>
      </c>
      <c r="K758" s="59"/>
    </row>
    <row r="759" spans="1:76" x14ac:dyDescent="0.25">
      <c r="A759" s="1" t="s">
        <v>1393</v>
      </c>
      <c r="B759" s="2" t="s">
        <v>84</v>
      </c>
      <c r="C759" s="2" t="s">
        <v>1394</v>
      </c>
      <c r="D759" s="86" t="s">
        <v>1395</v>
      </c>
      <c r="E759" s="81"/>
      <c r="F759" s="2" t="s">
        <v>1359</v>
      </c>
      <c r="G759" s="34">
        <v>565.41999999999996</v>
      </c>
      <c r="H759" s="64">
        <v>0</v>
      </c>
      <c r="I759" s="34">
        <f>ROUND(G759*H759,2)</f>
        <v>0</v>
      </c>
      <c r="J759" s="65" t="s">
        <v>133</v>
      </c>
      <c r="K759" s="59"/>
      <c r="Z759" s="34">
        <f>ROUND(IF(AQ759="5",BJ759,0),2)</f>
        <v>0</v>
      </c>
      <c r="AB759" s="34">
        <f>ROUND(IF(AQ759="1",BH759,0),2)</f>
        <v>0</v>
      </c>
      <c r="AC759" s="34">
        <f>ROUND(IF(AQ759="1",BI759,0),2)</f>
        <v>0</v>
      </c>
      <c r="AD759" s="34">
        <f>ROUND(IF(AQ759="7",BH759,0),2)</f>
        <v>0</v>
      </c>
      <c r="AE759" s="34">
        <f>ROUND(IF(AQ759="7",BI759,0),2)</f>
        <v>0</v>
      </c>
      <c r="AF759" s="34">
        <f>ROUND(IF(AQ759="2",BH759,0),2)</f>
        <v>0</v>
      </c>
      <c r="AG759" s="34">
        <f>ROUND(IF(AQ759="2",BI759,0),2)</f>
        <v>0</v>
      </c>
      <c r="AH759" s="34">
        <f>ROUND(IF(AQ759="0",BJ759,0),2)</f>
        <v>0</v>
      </c>
      <c r="AI759" s="46" t="s">
        <v>84</v>
      </c>
      <c r="AJ759" s="34">
        <f>IF(AN759=0,I759,0)</f>
        <v>0</v>
      </c>
      <c r="AK759" s="34">
        <f>IF(AN759=12,I759,0)</f>
        <v>0</v>
      </c>
      <c r="AL759" s="34">
        <f>IF(AN759=21,I759,0)</f>
        <v>0</v>
      </c>
      <c r="AN759" s="34">
        <v>21</v>
      </c>
      <c r="AO759" s="34">
        <f>H759*0.929368009</f>
        <v>0</v>
      </c>
      <c r="AP759" s="34">
        <f>H759*(1-0.929368009)</f>
        <v>0</v>
      </c>
      <c r="AQ759" s="65" t="s">
        <v>175</v>
      </c>
      <c r="AV759" s="34">
        <f>ROUND(AW759+AX759,2)</f>
        <v>0</v>
      </c>
      <c r="AW759" s="34">
        <f>ROUND(G759*AO759,2)</f>
        <v>0</v>
      </c>
      <c r="AX759" s="34">
        <f>ROUND(G759*AP759,2)</f>
        <v>0</v>
      </c>
      <c r="AY759" s="65" t="s">
        <v>1360</v>
      </c>
      <c r="AZ759" s="65" t="s">
        <v>1103</v>
      </c>
      <c r="BA759" s="46" t="s">
        <v>136</v>
      </c>
      <c r="BC759" s="34">
        <f>AW759+AX759</f>
        <v>0</v>
      </c>
      <c r="BD759" s="34">
        <f>H759/(100-BE759)*100</f>
        <v>0</v>
      </c>
      <c r="BE759" s="34">
        <v>0</v>
      </c>
      <c r="BF759" s="34">
        <f>759</f>
        <v>759</v>
      </c>
      <c r="BH759" s="34">
        <f>G759*AO759</f>
        <v>0</v>
      </c>
      <c r="BI759" s="34">
        <f>G759*AP759</f>
        <v>0</v>
      </c>
      <c r="BJ759" s="34">
        <f>G759*H759</f>
        <v>0</v>
      </c>
      <c r="BK759" s="34"/>
      <c r="BL759" s="34">
        <v>767</v>
      </c>
      <c r="BW759" s="34">
        <v>21</v>
      </c>
      <c r="BX759" s="3" t="s">
        <v>1395</v>
      </c>
    </row>
    <row r="760" spans="1:76" ht="13.5" customHeight="1" x14ac:dyDescent="0.25">
      <c r="A760" s="66"/>
      <c r="C760" s="69" t="s">
        <v>204</v>
      </c>
      <c r="D760" s="169" t="s">
        <v>1396</v>
      </c>
      <c r="E760" s="170"/>
      <c r="F760" s="170"/>
      <c r="G760" s="170"/>
      <c r="H760" s="171"/>
      <c r="I760" s="170"/>
      <c r="J760" s="170"/>
      <c r="K760" s="172"/>
    </row>
    <row r="761" spans="1:76" x14ac:dyDescent="0.25">
      <c r="A761" s="66"/>
      <c r="D761" s="67" t="s">
        <v>1397</v>
      </c>
      <c r="E761" s="67" t="s">
        <v>4</v>
      </c>
      <c r="G761" s="68">
        <v>565.41999999999996</v>
      </c>
      <c r="K761" s="59"/>
    </row>
    <row r="762" spans="1:76" x14ac:dyDescent="0.25">
      <c r="A762" s="1" t="s">
        <v>1398</v>
      </c>
      <c r="B762" s="2" t="s">
        <v>84</v>
      </c>
      <c r="C762" s="2" t="s">
        <v>1399</v>
      </c>
      <c r="D762" s="86" t="s">
        <v>1400</v>
      </c>
      <c r="E762" s="81"/>
      <c r="F762" s="2" t="s">
        <v>1359</v>
      </c>
      <c r="G762" s="34">
        <v>253.82</v>
      </c>
      <c r="H762" s="64">
        <v>0</v>
      </c>
      <c r="I762" s="34">
        <f>ROUND(G762*H762,2)</f>
        <v>0</v>
      </c>
      <c r="J762" s="65" t="s">
        <v>133</v>
      </c>
      <c r="K762" s="59"/>
      <c r="Z762" s="34">
        <f>ROUND(IF(AQ762="5",BJ762,0),2)</f>
        <v>0</v>
      </c>
      <c r="AB762" s="34">
        <f>ROUND(IF(AQ762="1",BH762,0),2)</f>
        <v>0</v>
      </c>
      <c r="AC762" s="34">
        <f>ROUND(IF(AQ762="1",BI762,0),2)</f>
        <v>0</v>
      </c>
      <c r="AD762" s="34">
        <f>ROUND(IF(AQ762="7",BH762,0),2)</f>
        <v>0</v>
      </c>
      <c r="AE762" s="34">
        <f>ROUND(IF(AQ762="7",BI762,0),2)</f>
        <v>0</v>
      </c>
      <c r="AF762" s="34">
        <f>ROUND(IF(AQ762="2",BH762,0),2)</f>
        <v>0</v>
      </c>
      <c r="AG762" s="34">
        <f>ROUND(IF(AQ762="2",BI762,0),2)</f>
        <v>0</v>
      </c>
      <c r="AH762" s="34">
        <f>ROUND(IF(AQ762="0",BJ762,0),2)</f>
        <v>0</v>
      </c>
      <c r="AI762" s="46" t="s">
        <v>84</v>
      </c>
      <c r="AJ762" s="34">
        <f>IF(AN762=0,I762,0)</f>
        <v>0</v>
      </c>
      <c r="AK762" s="34">
        <f>IF(AN762=12,I762,0)</f>
        <v>0</v>
      </c>
      <c r="AL762" s="34">
        <f>IF(AN762=21,I762,0)</f>
        <v>0</v>
      </c>
      <c r="AN762" s="34">
        <v>21</v>
      </c>
      <c r="AO762" s="34">
        <f>H762*0.84512446</f>
        <v>0</v>
      </c>
      <c r="AP762" s="34">
        <f>H762*(1-0.84512446)</f>
        <v>0</v>
      </c>
      <c r="AQ762" s="65" t="s">
        <v>175</v>
      </c>
      <c r="AV762" s="34">
        <f>ROUND(AW762+AX762,2)</f>
        <v>0</v>
      </c>
      <c r="AW762" s="34">
        <f>ROUND(G762*AO762,2)</f>
        <v>0</v>
      </c>
      <c r="AX762" s="34">
        <f>ROUND(G762*AP762,2)</f>
        <v>0</v>
      </c>
      <c r="AY762" s="65" t="s">
        <v>1360</v>
      </c>
      <c r="AZ762" s="65" t="s">
        <v>1103</v>
      </c>
      <c r="BA762" s="46" t="s">
        <v>136</v>
      </c>
      <c r="BC762" s="34">
        <f>AW762+AX762</f>
        <v>0</v>
      </c>
      <c r="BD762" s="34">
        <f>H762/(100-BE762)*100</f>
        <v>0</v>
      </c>
      <c r="BE762" s="34">
        <v>0</v>
      </c>
      <c r="BF762" s="34">
        <f>762</f>
        <v>762</v>
      </c>
      <c r="BH762" s="34">
        <f>G762*AO762</f>
        <v>0</v>
      </c>
      <c r="BI762" s="34">
        <f>G762*AP762</f>
        <v>0</v>
      </c>
      <c r="BJ762" s="34">
        <f>G762*H762</f>
        <v>0</v>
      </c>
      <c r="BK762" s="34"/>
      <c r="BL762" s="34">
        <v>767</v>
      </c>
      <c r="BW762" s="34">
        <v>21</v>
      </c>
      <c r="BX762" s="3" t="s">
        <v>1400</v>
      </c>
    </row>
    <row r="763" spans="1:76" ht="13.5" customHeight="1" x14ac:dyDescent="0.25">
      <c r="A763" s="66"/>
      <c r="C763" s="69" t="s">
        <v>204</v>
      </c>
      <c r="D763" s="169" t="s">
        <v>1401</v>
      </c>
      <c r="E763" s="170"/>
      <c r="F763" s="170"/>
      <c r="G763" s="170"/>
      <c r="H763" s="171"/>
      <c r="I763" s="170"/>
      <c r="J763" s="170"/>
      <c r="K763" s="172"/>
    </row>
    <row r="764" spans="1:76" x14ac:dyDescent="0.25">
      <c r="A764" s="66"/>
      <c r="D764" s="67" t="s">
        <v>1402</v>
      </c>
      <c r="E764" s="67" t="s">
        <v>4</v>
      </c>
      <c r="G764" s="68">
        <v>253.82</v>
      </c>
      <c r="K764" s="59"/>
    </row>
    <row r="765" spans="1:76" x14ac:dyDescent="0.25">
      <c r="A765" s="1" t="s">
        <v>1403</v>
      </c>
      <c r="B765" s="2" t="s">
        <v>84</v>
      </c>
      <c r="C765" s="2" t="s">
        <v>1404</v>
      </c>
      <c r="D765" s="86" t="s">
        <v>1405</v>
      </c>
      <c r="E765" s="81"/>
      <c r="F765" s="2" t="s">
        <v>132</v>
      </c>
      <c r="G765" s="34">
        <v>25</v>
      </c>
      <c r="H765" s="64">
        <v>0</v>
      </c>
      <c r="I765" s="34">
        <f>ROUND(G765*H765,2)</f>
        <v>0</v>
      </c>
      <c r="J765" s="65" t="s">
        <v>133</v>
      </c>
      <c r="K765" s="59"/>
      <c r="Z765" s="34">
        <f>ROUND(IF(AQ765="5",BJ765,0),2)</f>
        <v>0</v>
      </c>
      <c r="AB765" s="34">
        <f>ROUND(IF(AQ765="1",BH765,0),2)</f>
        <v>0</v>
      </c>
      <c r="AC765" s="34">
        <f>ROUND(IF(AQ765="1",BI765,0),2)</f>
        <v>0</v>
      </c>
      <c r="AD765" s="34">
        <f>ROUND(IF(AQ765="7",BH765,0),2)</f>
        <v>0</v>
      </c>
      <c r="AE765" s="34">
        <f>ROUND(IF(AQ765="7",BI765,0),2)</f>
        <v>0</v>
      </c>
      <c r="AF765" s="34">
        <f>ROUND(IF(AQ765="2",BH765,0),2)</f>
        <v>0</v>
      </c>
      <c r="AG765" s="34">
        <f>ROUND(IF(AQ765="2",BI765,0),2)</f>
        <v>0</v>
      </c>
      <c r="AH765" s="34">
        <f>ROUND(IF(AQ765="0",BJ765,0),2)</f>
        <v>0</v>
      </c>
      <c r="AI765" s="46" t="s">
        <v>84</v>
      </c>
      <c r="AJ765" s="34">
        <f>IF(AN765=0,I765,0)</f>
        <v>0</v>
      </c>
      <c r="AK765" s="34">
        <f>IF(AN765=12,I765,0)</f>
        <v>0</v>
      </c>
      <c r="AL765" s="34">
        <f>IF(AN765=21,I765,0)</f>
        <v>0</v>
      </c>
      <c r="AN765" s="34">
        <v>21</v>
      </c>
      <c r="AO765" s="34">
        <f>H765*0.448227437</f>
        <v>0</v>
      </c>
      <c r="AP765" s="34">
        <f>H765*(1-0.448227437)</f>
        <v>0</v>
      </c>
      <c r="AQ765" s="65" t="s">
        <v>175</v>
      </c>
      <c r="AV765" s="34">
        <f>ROUND(AW765+AX765,2)</f>
        <v>0</v>
      </c>
      <c r="AW765" s="34">
        <f>ROUND(G765*AO765,2)</f>
        <v>0</v>
      </c>
      <c r="AX765" s="34">
        <f>ROUND(G765*AP765,2)</f>
        <v>0</v>
      </c>
      <c r="AY765" s="65" t="s">
        <v>1360</v>
      </c>
      <c r="AZ765" s="65" t="s">
        <v>1103</v>
      </c>
      <c r="BA765" s="46" t="s">
        <v>136</v>
      </c>
      <c r="BC765" s="34">
        <f>AW765+AX765</f>
        <v>0</v>
      </c>
      <c r="BD765" s="34">
        <f>H765/(100-BE765)*100</f>
        <v>0</v>
      </c>
      <c r="BE765" s="34">
        <v>0</v>
      </c>
      <c r="BF765" s="34">
        <f>765</f>
        <v>765</v>
      </c>
      <c r="BH765" s="34">
        <f>G765*AO765</f>
        <v>0</v>
      </c>
      <c r="BI765" s="34">
        <f>G765*AP765</f>
        <v>0</v>
      </c>
      <c r="BJ765" s="34">
        <f>G765*H765</f>
        <v>0</v>
      </c>
      <c r="BK765" s="34"/>
      <c r="BL765" s="34">
        <v>767</v>
      </c>
      <c r="BW765" s="34">
        <v>21</v>
      </c>
      <c r="BX765" s="3" t="s">
        <v>1405</v>
      </c>
    </row>
    <row r="766" spans="1:76" ht="13.5" customHeight="1" x14ac:dyDescent="0.25">
      <c r="A766" s="66"/>
      <c r="C766" s="69" t="s">
        <v>204</v>
      </c>
      <c r="D766" s="169" t="s">
        <v>1406</v>
      </c>
      <c r="E766" s="170"/>
      <c r="F766" s="170"/>
      <c r="G766" s="170"/>
      <c r="H766" s="171"/>
      <c r="I766" s="170"/>
      <c r="J766" s="170"/>
      <c r="K766" s="172"/>
    </row>
    <row r="767" spans="1:76" x14ac:dyDescent="0.25">
      <c r="A767" s="66"/>
      <c r="D767" s="67" t="s">
        <v>304</v>
      </c>
      <c r="E767" s="67" t="s">
        <v>4</v>
      </c>
      <c r="G767" s="68">
        <v>25</v>
      </c>
      <c r="K767" s="59"/>
    </row>
    <row r="768" spans="1:76" x14ac:dyDescent="0.25">
      <c r="A768" s="1" t="s">
        <v>1407</v>
      </c>
      <c r="B768" s="2" t="s">
        <v>84</v>
      </c>
      <c r="C768" s="2" t="s">
        <v>1408</v>
      </c>
      <c r="D768" s="86" t="s">
        <v>1409</v>
      </c>
      <c r="E768" s="81"/>
      <c r="F768" s="2" t="s">
        <v>258</v>
      </c>
      <c r="G768" s="34">
        <v>7</v>
      </c>
      <c r="H768" s="64">
        <v>0</v>
      </c>
      <c r="I768" s="34">
        <f>ROUND(G768*H768,2)</f>
        <v>0</v>
      </c>
      <c r="J768" s="65" t="s">
        <v>133</v>
      </c>
      <c r="K768" s="59"/>
      <c r="Z768" s="34">
        <f>ROUND(IF(AQ768="5",BJ768,0),2)</f>
        <v>0</v>
      </c>
      <c r="AB768" s="34">
        <f>ROUND(IF(AQ768="1",BH768,0),2)</f>
        <v>0</v>
      </c>
      <c r="AC768" s="34">
        <f>ROUND(IF(AQ768="1",BI768,0),2)</f>
        <v>0</v>
      </c>
      <c r="AD768" s="34">
        <f>ROUND(IF(AQ768="7",BH768,0),2)</f>
        <v>0</v>
      </c>
      <c r="AE768" s="34">
        <f>ROUND(IF(AQ768="7",BI768,0),2)</f>
        <v>0</v>
      </c>
      <c r="AF768" s="34">
        <f>ROUND(IF(AQ768="2",BH768,0),2)</f>
        <v>0</v>
      </c>
      <c r="AG768" s="34">
        <f>ROUND(IF(AQ768="2",BI768,0),2)</f>
        <v>0</v>
      </c>
      <c r="AH768" s="34">
        <f>ROUND(IF(AQ768="0",BJ768,0),2)</f>
        <v>0</v>
      </c>
      <c r="AI768" s="46" t="s">
        <v>84</v>
      </c>
      <c r="AJ768" s="34">
        <f>IF(AN768=0,I768,0)</f>
        <v>0</v>
      </c>
      <c r="AK768" s="34">
        <f>IF(AN768=12,I768,0)</f>
        <v>0</v>
      </c>
      <c r="AL768" s="34">
        <f>IF(AN768=21,I768,0)</f>
        <v>0</v>
      </c>
      <c r="AN768" s="34">
        <v>21</v>
      </c>
      <c r="AO768" s="34">
        <f>H768*0.829049221</f>
        <v>0</v>
      </c>
      <c r="AP768" s="34">
        <f>H768*(1-0.829049221)</f>
        <v>0</v>
      </c>
      <c r="AQ768" s="65" t="s">
        <v>175</v>
      </c>
      <c r="AV768" s="34">
        <f>ROUND(AW768+AX768,2)</f>
        <v>0</v>
      </c>
      <c r="AW768" s="34">
        <f>ROUND(G768*AO768,2)</f>
        <v>0</v>
      </c>
      <c r="AX768" s="34">
        <f>ROUND(G768*AP768,2)</f>
        <v>0</v>
      </c>
      <c r="AY768" s="65" t="s">
        <v>1360</v>
      </c>
      <c r="AZ768" s="65" t="s">
        <v>1103</v>
      </c>
      <c r="BA768" s="46" t="s">
        <v>136</v>
      </c>
      <c r="BC768" s="34">
        <f>AW768+AX768</f>
        <v>0</v>
      </c>
      <c r="BD768" s="34">
        <f>H768/(100-BE768)*100</f>
        <v>0</v>
      </c>
      <c r="BE768" s="34">
        <v>0</v>
      </c>
      <c r="BF768" s="34">
        <f>768</f>
        <v>768</v>
      </c>
      <c r="BH768" s="34">
        <f>G768*AO768</f>
        <v>0</v>
      </c>
      <c r="BI768" s="34">
        <f>G768*AP768</f>
        <v>0</v>
      </c>
      <c r="BJ768" s="34">
        <f>G768*H768</f>
        <v>0</v>
      </c>
      <c r="BK768" s="34"/>
      <c r="BL768" s="34">
        <v>767</v>
      </c>
      <c r="BW768" s="34">
        <v>21</v>
      </c>
      <c r="BX768" s="3" t="s">
        <v>1409</v>
      </c>
    </row>
    <row r="769" spans="1:76" x14ac:dyDescent="0.25">
      <c r="A769" s="66"/>
      <c r="D769" s="67" t="s">
        <v>1410</v>
      </c>
      <c r="E769" s="67" t="s">
        <v>4</v>
      </c>
      <c r="G769" s="68">
        <v>7</v>
      </c>
      <c r="K769" s="59"/>
    </row>
    <row r="770" spans="1:76" x14ac:dyDescent="0.25">
      <c r="A770" s="1" t="s">
        <v>1411</v>
      </c>
      <c r="B770" s="2" t="s">
        <v>84</v>
      </c>
      <c r="C770" s="2" t="s">
        <v>1412</v>
      </c>
      <c r="D770" s="86" t="s">
        <v>1413</v>
      </c>
      <c r="E770" s="81"/>
      <c r="F770" s="2" t="s">
        <v>258</v>
      </c>
      <c r="G770" s="34">
        <v>0</v>
      </c>
      <c r="H770" s="64">
        <v>0</v>
      </c>
      <c r="I770" s="34">
        <f>ROUND(G770*H770,2)</f>
        <v>0</v>
      </c>
      <c r="J770" s="65" t="s">
        <v>133</v>
      </c>
      <c r="K770" s="59"/>
      <c r="Z770" s="34">
        <f>ROUND(IF(AQ770="5",BJ770,0),2)</f>
        <v>0</v>
      </c>
      <c r="AB770" s="34">
        <f>ROUND(IF(AQ770="1",BH770,0),2)</f>
        <v>0</v>
      </c>
      <c r="AC770" s="34">
        <f>ROUND(IF(AQ770="1",BI770,0),2)</f>
        <v>0</v>
      </c>
      <c r="AD770" s="34">
        <f>ROUND(IF(AQ770="7",BH770,0),2)</f>
        <v>0</v>
      </c>
      <c r="AE770" s="34">
        <f>ROUND(IF(AQ770="7",BI770,0),2)</f>
        <v>0</v>
      </c>
      <c r="AF770" s="34">
        <f>ROUND(IF(AQ770="2",BH770,0),2)</f>
        <v>0</v>
      </c>
      <c r="AG770" s="34">
        <f>ROUND(IF(AQ770="2",BI770,0),2)</f>
        <v>0</v>
      </c>
      <c r="AH770" s="34">
        <f>ROUND(IF(AQ770="0",BJ770,0),2)</f>
        <v>0</v>
      </c>
      <c r="AI770" s="46" t="s">
        <v>84</v>
      </c>
      <c r="AJ770" s="34">
        <f>IF(AN770=0,I770,0)</f>
        <v>0</v>
      </c>
      <c r="AK770" s="34">
        <f>IF(AN770=12,I770,0)</f>
        <v>0</v>
      </c>
      <c r="AL770" s="34">
        <f>IF(AN770=21,I770,0)</f>
        <v>0</v>
      </c>
      <c r="AN770" s="34">
        <v>21</v>
      </c>
      <c r="AO770" s="34">
        <f>H770*0</f>
        <v>0</v>
      </c>
      <c r="AP770" s="34">
        <f>H770*(1-0)</f>
        <v>0</v>
      </c>
      <c r="AQ770" s="65" t="s">
        <v>175</v>
      </c>
      <c r="AV770" s="34">
        <f>ROUND(AW770+AX770,2)</f>
        <v>0</v>
      </c>
      <c r="AW770" s="34">
        <f>ROUND(G770*AO770,2)</f>
        <v>0</v>
      </c>
      <c r="AX770" s="34">
        <f>ROUND(G770*AP770,2)</f>
        <v>0</v>
      </c>
      <c r="AY770" s="65" t="s">
        <v>1360</v>
      </c>
      <c r="AZ770" s="65" t="s">
        <v>1103</v>
      </c>
      <c r="BA770" s="46" t="s">
        <v>136</v>
      </c>
      <c r="BC770" s="34">
        <f>AW770+AX770</f>
        <v>0</v>
      </c>
      <c r="BD770" s="34">
        <f>H770/(100-BE770)*100</f>
        <v>0</v>
      </c>
      <c r="BE770" s="34">
        <v>0</v>
      </c>
      <c r="BF770" s="34">
        <f>770</f>
        <v>770</v>
      </c>
      <c r="BH770" s="34">
        <f>G770*AO770</f>
        <v>0</v>
      </c>
      <c r="BI770" s="34">
        <f>G770*AP770</f>
        <v>0</v>
      </c>
      <c r="BJ770" s="34">
        <f>G770*H770</f>
        <v>0</v>
      </c>
      <c r="BK770" s="34"/>
      <c r="BL770" s="34">
        <v>767</v>
      </c>
      <c r="BW770" s="34">
        <v>21</v>
      </c>
      <c r="BX770" s="3" t="s">
        <v>1413</v>
      </c>
    </row>
    <row r="771" spans="1:76" x14ac:dyDescent="0.25">
      <c r="A771" s="1" t="s">
        <v>1414</v>
      </c>
      <c r="B771" s="2" t="s">
        <v>84</v>
      </c>
      <c r="C771" s="2" t="s">
        <v>1415</v>
      </c>
      <c r="D771" s="86" t="s">
        <v>1416</v>
      </c>
      <c r="E771" s="81"/>
      <c r="F771" s="2" t="s">
        <v>178</v>
      </c>
      <c r="G771" s="34">
        <v>17.82206</v>
      </c>
      <c r="H771" s="64">
        <v>0</v>
      </c>
      <c r="I771" s="34">
        <f>ROUND(G771*H771,2)</f>
        <v>0</v>
      </c>
      <c r="J771" s="65" t="s">
        <v>133</v>
      </c>
      <c r="K771" s="59"/>
      <c r="Z771" s="34">
        <f>ROUND(IF(AQ771="5",BJ771,0),2)</f>
        <v>0</v>
      </c>
      <c r="AB771" s="34">
        <f>ROUND(IF(AQ771="1",BH771,0),2)</f>
        <v>0</v>
      </c>
      <c r="AC771" s="34">
        <f>ROUND(IF(AQ771="1",BI771,0),2)</f>
        <v>0</v>
      </c>
      <c r="AD771" s="34">
        <f>ROUND(IF(AQ771="7",BH771,0),2)</f>
        <v>0</v>
      </c>
      <c r="AE771" s="34">
        <f>ROUND(IF(AQ771="7",BI771,0),2)</f>
        <v>0</v>
      </c>
      <c r="AF771" s="34">
        <f>ROUND(IF(AQ771="2",BH771,0),2)</f>
        <v>0</v>
      </c>
      <c r="AG771" s="34">
        <f>ROUND(IF(AQ771="2",BI771,0),2)</f>
        <v>0</v>
      </c>
      <c r="AH771" s="34">
        <f>ROUND(IF(AQ771="0",BJ771,0),2)</f>
        <v>0</v>
      </c>
      <c r="AI771" s="46" t="s">
        <v>84</v>
      </c>
      <c r="AJ771" s="34">
        <f>IF(AN771=0,I771,0)</f>
        <v>0</v>
      </c>
      <c r="AK771" s="34">
        <f>IF(AN771=12,I771,0)</f>
        <v>0</v>
      </c>
      <c r="AL771" s="34">
        <f>IF(AN771=21,I771,0)</f>
        <v>0</v>
      </c>
      <c r="AN771" s="34">
        <v>21</v>
      </c>
      <c r="AO771" s="34">
        <f>H771*0</f>
        <v>0</v>
      </c>
      <c r="AP771" s="34">
        <f>H771*(1-0)</f>
        <v>0</v>
      </c>
      <c r="AQ771" s="65" t="s">
        <v>166</v>
      </c>
      <c r="AV771" s="34">
        <f>ROUND(AW771+AX771,2)</f>
        <v>0</v>
      </c>
      <c r="AW771" s="34">
        <f>ROUND(G771*AO771,2)</f>
        <v>0</v>
      </c>
      <c r="AX771" s="34">
        <f>ROUND(G771*AP771,2)</f>
        <v>0</v>
      </c>
      <c r="AY771" s="65" t="s">
        <v>1360</v>
      </c>
      <c r="AZ771" s="65" t="s">
        <v>1103</v>
      </c>
      <c r="BA771" s="46" t="s">
        <v>136</v>
      </c>
      <c r="BC771" s="34">
        <f>AW771+AX771</f>
        <v>0</v>
      </c>
      <c r="BD771" s="34">
        <f>H771/(100-BE771)*100</f>
        <v>0</v>
      </c>
      <c r="BE771" s="34">
        <v>0</v>
      </c>
      <c r="BF771" s="34">
        <f>771</f>
        <v>771</v>
      </c>
      <c r="BH771" s="34">
        <f>G771*AO771</f>
        <v>0</v>
      </c>
      <c r="BI771" s="34">
        <f>G771*AP771</f>
        <v>0</v>
      </c>
      <c r="BJ771" s="34">
        <f>G771*H771</f>
        <v>0</v>
      </c>
      <c r="BK771" s="34"/>
      <c r="BL771" s="34">
        <v>767</v>
      </c>
      <c r="BW771" s="34">
        <v>21</v>
      </c>
      <c r="BX771" s="3" t="s">
        <v>1416</v>
      </c>
    </row>
    <row r="772" spans="1:76" x14ac:dyDescent="0.25">
      <c r="A772" s="60" t="s">
        <v>4</v>
      </c>
      <c r="B772" s="61" t="s">
        <v>84</v>
      </c>
      <c r="C772" s="61" t="s">
        <v>1417</v>
      </c>
      <c r="D772" s="167" t="s">
        <v>1418</v>
      </c>
      <c r="E772" s="168"/>
      <c r="F772" s="62" t="s">
        <v>79</v>
      </c>
      <c r="G772" s="62" t="s">
        <v>79</v>
      </c>
      <c r="H772" s="63" t="s">
        <v>79</v>
      </c>
      <c r="I772" s="39">
        <f>SUM(I773:I789)</f>
        <v>0</v>
      </c>
      <c r="J772" s="46" t="s">
        <v>4</v>
      </c>
      <c r="K772" s="59"/>
      <c r="AI772" s="46" t="s">
        <v>84</v>
      </c>
      <c r="AS772" s="39">
        <f>SUM(AJ773:AJ789)</f>
        <v>0</v>
      </c>
      <c r="AT772" s="39">
        <f>SUM(AK773:AK789)</f>
        <v>0</v>
      </c>
      <c r="AU772" s="39">
        <f>SUM(AL773:AL789)</f>
        <v>0</v>
      </c>
    </row>
    <row r="773" spans="1:76" x14ac:dyDescent="0.25">
      <c r="A773" s="1" t="s">
        <v>1419</v>
      </c>
      <c r="B773" s="2" t="s">
        <v>84</v>
      </c>
      <c r="C773" s="2" t="s">
        <v>1420</v>
      </c>
      <c r="D773" s="86" t="s">
        <v>1421</v>
      </c>
      <c r="E773" s="81"/>
      <c r="F773" s="2" t="s">
        <v>132</v>
      </c>
      <c r="G773" s="34">
        <v>428</v>
      </c>
      <c r="H773" s="64">
        <v>0</v>
      </c>
      <c r="I773" s="34">
        <f>ROUND(G773*H773,2)</f>
        <v>0</v>
      </c>
      <c r="J773" s="65" t="s">
        <v>133</v>
      </c>
      <c r="K773" s="59"/>
      <c r="Z773" s="34">
        <f>ROUND(IF(AQ773="5",BJ773,0),2)</f>
        <v>0</v>
      </c>
      <c r="AB773" s="34">
        <f>ROUND(IF(AQ773="1",BH773,0),2)</f>
        <v>0</v>
      </c>
      <c r="AC773" s="34">
        <f>ROUND(IF(AQ773="1",BI773,0),2)</f>
        <v>0</v>
      </c>
      <c r="AD773" s="34">
        <f>ROUND(IF(AQ773="7",BH773,0),2)</f>
        <v>0</v>
      </c>
      <c r="AE773" s="34">
        <f>ROUND(IF(AQ773="7",BI773,0),2)</f>
        <v>0</v>
      </c>
      <c r="AF773" s="34">
        <f>ROUND(IF(AQ773="2",BH773,0),2)</f>
        <v>0</v>
      </c>
      <c r="AG773" s="34">
        <f>ROUND(IF(AQ773="2",BI773,0),2)</f>
        <v>0</v>
      </c>
      <c r="AH773" s="34">
        <f>ROUND(IF(AQ773="0",BJ773,0),2)</f>
        <v>0</v>
      </c>
      <c r="AI773" s="46" t="s">
        <v>84</v>
      </c>
      <c r="AJ773" s="34">
        <f>IF(AN773=0,I773,0)</f>
        <v>0</v>
      </c>
      <c r="AK773" s="34">
        <f>IF(AN773=12,I773,0)</f>
        <v>0</v>
      </c>
      <c r="AL773" s="34">
        <f>IF(AN773=21,I773,0)</f>
        <v>0</v>
      </c>
      <c r="AN773" s="34">
        <v>21</v>
      </c>
      <c r="AO773" s="34">
        <f>H773*0</f>
        <v>0</v>
      </c>
      <c r="AP773" s="34">
        <f>H773*(1-0)</f>
        <v>0</v>
      </c>
      <c r="AQ773" s="65" t="s">
        <v>175</v>
      </c>
      <c r="AV773" s="34">
        <f>ROUND(AW773+AX773,2)</f>
        <v>0</v>
      </c>
      <c r="AW773" s="34">
        <f>ROUND(G773*AO773,2)</f>
        <v>0</v>
      </c>
      <c r="AX773" s="34">
        <f>ROUND(G773*AP773,2)</f>
        <v>0</v>
      </c>
      <c r="AY773" s="65" t="s">
        <v>1422</v>
      </c>
      <c r="AZ773" s="65" t="s">
        <v>1423</v>
      </c>
      <c r="BA773" s="46" t="s">
        <v>136</v>
      </c>
      <c r="BC773" s="34">
        <f>AW773+AX773</f>
        <v>0</v>
      </c>
      <c r="BD773" s="34">
        <f>H773/(100-BE773)*100</f>
        <v>0</v>
      </c>
      <c r="BE773" s="34">
        <v>0</v>
      </c>
      <c r="BF773" s="34">
        <f>773</f>
        <v>773</v>
      </c>
      <c r="BH773" s="34">
        <f>G773*AO773</f>
        <v>0</v>
      </c>
      <c r="BI773" s="34">
        <f>G773*AP773</f>
        <v>0</v>
      </c>
      <c r="BJ773" s="34">
        <f>G773*H773</f>
        <v>0</v>
      </c>
      <c r="BK773" s="34"/>
      <c r="BL773" s="34">
        <v>771</v>
      </c>
      <c r="BW773" s="34">
        <v>21</v>
      </c>
      <c r="BX773" s="3" t="s">
        <v>1421</v>
      </c>
    </row>
    <row r="774" spans="1:76" x14ac:dyDescent="0.25">
      <c r="A774" s="66"/>
      <c r="D774" s="67" t="s">
        <v>1424</v>
      </c>
      <c r="E774" s="67" t="s">
        <v>4</v>
      </c>
      <c r="G774" s="68">
        <v>428</v>
      </c>
      <c r="K774" s="59"/>
    </row>
    <row r="775" spans="1:76" x14ac:dyDescent="0.25">
      <c r="A775" s="1" t="s">
        <v>1425</v>
      </c>
      <c r="B775" s="2" t="s">
        <v>84</v>
      </c>
      <c r="C775" s="2" t="s">
        <v>1426</v>
      </c>
      <c r="D775" s="86" t="s">
        <v>1427</v>
      </c>
      <c r="E775" s="81"/>
      <c r="F775" s="2" t="s">
        <v>132</v>
      </c>
      <c r="G775" s="34">
        <v>428</v>
      </c>
      <c r="H775" s="64">
        <v>0</v>
      </c>
      <c r="I775" s="34">
        <f>ROUND(G775*H775,2)</f>
        <v>0</v>
      </c>
      <c r="J775" s="65" t="s">
        <v>133</v>
      </c>
      <c r="K775" s="59"/>
      <c r="Z775" s="34">
        <f>ROUND(IF(AQ775="5",BJ775,0),2)</f>
        <v>0</v>
      </c>
      <c r="AB775" s="34">
        <f>ROUND(IF(AQ775="1",BH775,0),2)</f>
        <v>0</v>
      </c>
      <c r="AC775" s="34">
        <f>ROUND(IF(AQ775="1",BI775,0),2)</f>
        <v>0</v>
      </c>
      <c r="AD775" s="34">
        <f>ROUND(IF(AQ775="7",BH775,0),2)</f>
        <v>0</v>
      </c>
      <c r="AE775" s="34">
        <f>ROUND(IF(AQ775="7",BI775,0),2)</f>
        <v>0</v>
      </c>
      <c r="AF775" s="34">
        <f>ROUND(IF(AQ775="2",BH775,0),2)</f>
        <v>0</v>
      </c>
      <c r="AG775" s="34">
        <f>ROUND(IF(AQ775="2",BI775,0),2)</f>
        <v>0</v>
      </c>
      <c r="AH775" s="34">
        <f>ROUND(IF(AQ775="0",BJ775,0),2)</f>
        <v>0</v>
      </c>
      <c r="AI775" s="46" t="s">
        <v>84</v>
      </c>
      <c r="AJ775" s="34">
        <f>IF(AN775=0,I775,0)</f>
        <v>0</v>
      </c>
      <c r="AK775" s="34">
        <f>IF(AN775=12,I775,0)</f>
        <v>0</v>
      </c>
      <c r="AL775" s="34">
        <f>IF(AN775=21,I775,0)</f>
        <v>0</v>
      </c>
      <c r="AN775" s="34">
        <v>21</v>
      </c>
      <c r="AO775" s="34">
        <f>H775*0.447130435</f>
        <v>0</v>
      </c>
      <c r="AP775" s="34">
        <f>H775*(1-0.447130435)</f>
        <v>0</v>
      </c>
      <c r="AQ775" s="65" t="s">
        <v>175</v>
      </c>
      <c r="AV775" s="34">
        <f>ROUND(AW775+AX775,2)</f>
        <v>0</v>
      </c>
      <c r="AW775" s="34">
        <f>ROUND(G775*AO775,2)</f>
        <v>0</v>
      </c>
      <c r="AX775" s="34">
        <f>ROUND(G775*AP775,2)</f>
        <v>0</v>
      </c>
      <c r="AY775" s="65" t="s">
        <v>1422</v>
      </c>
      <c r="AZ775" s="65" t="s">
        <v>1423</v>
      </c>
      <c r="BA775" s="46" t="s">
        <v>136</v>
      </c>
      <c r="BC775" s="34">
        <f>AW775+AX775</f>
        <v>0</v>
      </c>
      <c r="BD775" s="34">
        <f>H775/(100-BE775)*100</f>
        <v>0</v>
      </c>
      <c r="BE775" s="34">
        <v>0</v>
      </c>
      <c r="BF775" s="34">
        <f>775</f>
        <v>775</v>
      </c>
      <c r="BH775" s="34">
        <f>G775*AO775</f>
        <v>0</v>
      </c>
      <c r="BI775" s="34">
        <f>G775*AP775</f>
        <v>0</v>
      </c>
      <c r="BJ775" s="34">
        <f>G775*H775</f>
        <v>0</v>
      </c>
      <c r="BK775" s="34"/>
      <c r="BL775" s="34">
        <v>771</v>
      </c>
      <c r="BW775" s="34">
        <v>21</v>
      </c>
      <c r="BX775" s="3" t="s">
        <v>1427</v>
      </c>
    </row>
    <row r="776" spans="1:76" ht="13.5" customHeight="1" x14ac:dyDescent="0.25">
      <c r="A776" s="66"/>
      <c r="C776" s="69" t="s">
        <v>204</v>
      </c>
      <c r="D776" s="169" t="s">
        <v>1428</v>
      </c>
      <c r="E776" s="170"/>
      <c r="F776" s="170"/>
      <c r="G776" s="170"/>
      <c r="H776" s="171"/>
      <c r="I776" s="170"/>
      <c r="J776" s="170"/>
      <c r="K776" s="172"/>
    </row>
    <row r="777" spans="1:76" x14ac:dyDescent="0.25">
      <c r="A777" s="66"/>
      <c r="D777" s="67" t="s">
        <v>1424</v>
      </c>
      <c r="E777" s="67" t="s">
        <v>4</v>
      </c>
      <c r="G777" s="68">
        <v>428</v>
      </c>
      <c r="K777" s="59"/>
    </row>
    <row r="778" spans="1:76" x14ac:dyDescent="0.25">
      <c r="A778" s="1" t="s">
        <v>1429</v>
      </c>
      <c r="B778" s="2" t="s">
        <v>84</v>
      </c>
      <c r="C778" s="2" t="s">
        <v>1430</v>
      </c>
      <c r="D778" s="86" t="s">
        <v>1431</v>
      </c>
      <c r="E778" s="81"/>
      <c r="F778" s="2" t="s">
        <v>132</v>
      </c>
      <c r="G778" s="34">
        <v>428</v>
      </c>
      <c r="H778" s="64">
        <v>0</v>
      </c>
      <c r="I778" s="34">
        <f>ROUND(G778*H778,2)</f>
        <v>0</v>
      </c>
      <c r="J778" s="65" t="s">
        <v>133</v>
      </c>
      <c r="K778" s="59"/>
      <c r="Z778" s="34">
        <f>ROUND(IF(AQ778="5",BJ778,0),2)</f>
        <v>0</v>
      </c>
      <c r="AB778" s="34">
        <f>ROUND(IF(AQ778="1",BH778,0),2)</f>
        <v>0</v>
      </c>
      <c r="AC778" s="34">
        <f>ROUND(IF(AQ778="1",BI778,0),2)</f>
        <v>0</v>
      </c>
      <c r="AD778" s="34">
        <f>ROUND(IF(AQ778="7",BH778,0),2)</f>
        <v>0</v>
      </c>
      <c r="AE778" s="34">
        <f>ROUND(IF(AQ778="7",BI778,0),2)</f>
        <v>0</v>
      </c>
      <c r="AF778" s="34">
        <f>ROUND(IF(AQ778="2",BH778,0),2)</f>
        <v>0</v>
      </c>
      <c r="AG778" s="34">
        <f>ROUND(IF(AQ778="2",BI778,0),2)</f>
        <v>0</v>
      </c>
      <c r="AH778" s="34">
        <f>ROUND(IF(AQ778="0",BJ778,0),2)</f>
        <v>0</v>
      </c>
      <c r="AI778" s="46" t="s">
        <v>84</v>
      </c>
      <c r="AJ778" s="34">
        <f>IF(AN778=0,I778,0)</f>
        <v>0</v>
      </c>
      <c r="AK778" s="34">
        <f>IF(AN778=12,I778,0)</f>
        <v>0</v>
      </c>
      <c r="AL778" s="34">
        <f>IF(AN778=21,I778,0)</f>
        <v>0</v>
      </c>
      <c r="AN778" s="34">
        <v>21</v>
      </c>
      <c r="AO778" s="34">
        <f>H778*0.220850658</f>
        <v>0</v>
      </c>
      <c r="AP778" s="34">
        <f>H778*(1-0.220850658)</f>
        <v>0</v>
      </c>
      <c r="AQ778" s="65" t="s">
        <v>175</v>
      </c>
      <c r="AV778" s="34">
        <f>ROUND(AW778+AX778,2)</f>
        <v>0</v>
      </c>
      <c r="AW778" s="34">
        <f>ROUND(G778*AO778,2)</f>
        <v>0</v>
      </c>
      <c r="AX778" s="34">
        <f>ROUND(G778*AP778,2)</f>
        <v>0</v>
      </c>
      <c r="AY778" s="65" t="s">
        <v>1422</v>
      </c>
      <c r="AZ778" s="65" t="s">
        <v>1423</v>
      </c>
      <c r="BA778" s="46" t="s">
        <v>136</v>
      </c>
      <c r="BC778" s="34">
        <f>AW778+AX778</f>
        <v>0</v>
      </c>
      <c r="BD778" s="34">
        <f>H778/(100-BE778)*100</f>
        <v>0</v>
      </c>
      <c r="BE778" s="34">
        <v>0</v>
      </c>
      <c r="BF778" s="34">
        <f>778</f>
        <v>778</v>
      </c>
      <c r="BH778" s="34">
        <f>G778*AO778</f>
        <v>0</v>
      </c>
      <c r="BI778" s="34">
        <f>G778*AP778</f>
        <v>0</v>
      </c>
      <c r="BJ778" s="34">
        <f>G778*H778</f>
        <v>0</v>
      </c>
      <c r="BK778" s="34"/>
      <c r="BL778" s="34">
        <v>771</v>
      </c>
      <c r="BW778" s="34">
        <v>21</v>
      </c>
      <c r="BX778" s="3" t="s">
        <v>1431</v>
      </c>
    </row>
    <row r="779" spans="1:76" ht="13.5" customHeight="1" x14ac:dyDescent="0.25">
      <c r="A779" s="66"/>
      <c r="C779" s="69" t="s">
        <v>204</v>
      </c>
      <c r="D779" s="169" t="s">
        <v>1432</v>
      </c>
      <c r="E779" s="170"/>
      <c r="F779" s="170"/>
      <c r="G779" s="170"/>
      <c r="H779" s="171"/>
      <c r="I779" s="170"/>
      <c r="J779" s="170"/>
      <c r="K779" s="172"/>
    </row>
    <row r="780" spans="1:76" x14ac:dyDescent="0.25">
      <c r="A780" s="66"/>
      <c r="D780" s="67" t="s">
        <v>1234</v>
      </c>
      <c r="E780" s="67" t="s">
        <v>1074</v>
      </c>
      <c r="G780" s="68">
        <v>178</v>
      </c>
      <c r="K780" s="59"/>
    </row>
    <row r="781" spans="1:76" x14ac:dyDescent="0.25">
      <c r="A781" s="66"/>
      <c r="D781" s="67" t="s">
        <v>1433</v>
      </c>
      <c r="E781" s="67" t="s">
        <v>1075</v>
      </c>
      <c r="G781" s="68">
        <v>250</v>
      </c>
      <c r="K781" s="59"/>
    </row>
    <row r="782" spans="1:76" x14ac:dyDescent="0.25">
      <c r="A782" s="1" t="s">
        <v>1434</v>
      </c>
      <c r="B782" s="2" t="s">
        <v>84</v>
      </c>
      <c r="C782" s="2" t="s">
        <v>1435</v>
      </c>
      <c r="D782" s="86" t="s">
        <v>1436</v>
      </c>
      <c r="E782" s="81"/>
      <c r="F782" s="2" t="s">
        <v>132</v>
      </c>
      <c r="G782" s="34">
        <v>480.33800000000002</v>
      </c>
      <c r="H782" s="64">
        <v>0</v>
      </c>
      <c r="I782" s="34">
        <f>ROUND(G782*H782,2)</f>
        <v>0</v>
      </c>
      <c r="J782" s="65" t="s">
        <v>398</v>
      </c>
      <c r="K782" s="59"/>
      <c r="Z782" s="34">
        <f>ROUND(IF(AQ782="5",BJ782,0),2)</f>
        <v>0</v>
      </c>
      <c r="AB782" s="34">
        <f>ROUND(IF(AQ782="1",BH782,0),2)</f>
        <v>0</v>
      </c>
      <c r="AC782" s="34">
        <f>ROUND(IF(AQ782="1",BI782,0),2)</f>
        <v>0</v>
      </c>
      <c r="AD782" s="34">
        <f>ROUND(IF(AQ782="7",BH782,0),2)</f>
        <v>0</v>
      </c>
      <c r="AE782" s="34">
        <f>ROUND(IF(AQ782="7",BI782,0),2)</f>
        <v>0</v>
      </c>
      <c r="AF782" s="34">
        <f>ROUND(IF(AQ782="2",BH782,0),2)</f>
        <v>0</v>
      </c>
      <c r="AG782" s="34">
        <f>ROUND(IF(AQ782="2",BI782,0),2)</f>
        <v>0</v>
      </c>
      <c r="AH782" s="34">
        <f>ROUND(IF(AQ782="0",BJ782,0),2)</f>
        <v>0</v>
      </c>
      <c r="AI782" s="46" t="s">
        <v>84</v>
      </c>
      <c r="AJ782" s="34">
        <f>IF(AN782=0,I782,0)</f>
        <v>0</v>
      </c>
      <c r="AK782" s="34">
        <f>IF(AN782=12,I782,0)</f>
        <v>0</v>
      </c>
      <c r="AL782" s="34">
        <f>IF(AN782=21,I782,0)</f>
        <v>0</v>
      </c>
      <c r="AN782" s="34">
        <v>21</v>
      </c>
      <c r="AO782" s="34">
        <f>H782*1</f>
        <v>0</v>
      </c>
      <c r="AP782" s="34">
        <f>H782*(1-1)</f>
        <v>0</v>
      </c>
      <c r="AQ782" s="65" t="s">
        <v>175</v>
      </c>
      <c r="AV782" s="34">
        <f>ROUND(AW782+AX782,2)</f>
        <v>0</v>
      </c>
      <c r="AW782" s="34">
        <f>ROUND(G782*AO782,2)</f>
        <v>0</v>
      </c>
      <c r="AX782" s="34">
        <f>ROUND(G782*AP782,2)</f>
        <v>0</v>
      </c>
      <c r="AY782" s="65" t="s">
        <v>1422</v>
      </c>
      <c r="AZ782" s="65" t="s">
        <v>1423</v>
      </c>
      <c r="BA782" s="46" t="s">
        <v>136</v>
      </c>
      <c r="BC782" s="34">
        <f>AW782+AX782</f>
        <v>0</v>
      </c>
      <c r="BD782" s="34">
        <f>H782/(100-BE782)*100</f>
        <v>0</v>
      </c>
      <c r="BE782" s="34">
        <v>0</v>
      </c>
      <c r="BF782" s="34">
        <f>782</f>
        <v>782</v>
      </c>
      <c r="BH782" s="34">
        <f>G782*AO782</f>
        <v>0</v>
      </c>
      <c r="BI782" s="34">
        <f>G782*AP782</f>
        <v>0</v>
      </c>
      <c r="BJ782" s="34">
        <f>G782*H782</f>
        <v>0</v>
      </c>
      <c r="BK782" s="34"/>
      <c r="BL782" s="34">
        <v>771</v>
      </c>
      <c r="BW782" s="34">
        <v>21</v>
      </c>
      <c r="BX782" s="3" t="s">
        <v>1436</v>
      </c>
    </row>
    <row r="783" spans="1:76" x14ac:dyDescent="0.25">
      <c r="A783" s="66"/>
      <c r="D783" s="67" t="s">
        <v>1437</v>
      </c>
      <c r="E783" s="67" t="s">
        <v>4</v>
      </c>
      <c r="G783" s="68">
        <v>23.4</v>
      </c>
      <c r="K783" s="59"/>
    </row>
    <row r="784" spans="1:76" x14ac:dyDescent="0.25">
      <c r="A784" s="66"/>
      <c r="D784" s="67" t="s">
        <v>1438</v>
      </c>
      <c r="E784" s="67" t="s">
        <v>4</v>
      </c>
      <c r="G784" s="68">
        <v>154.18</v>
      </c>
      <c r="K784" s="59"/>
    </row>
    <row r="785" spans="1:76" x14ac:dyDescent="0.25">
      <c r="A785" s="66"/>
      <c r="D785" s="67" t="s">
        <v>1439</v>
      </c>
      <c r="E785" s="67" t="s">
        <v>1440</v>
      </c>
      <c r="G785" s="68">
        <v>17.757999999999999</v>
      </c>
      <c r="K785" s="59"/>
    </row>
    <row r="786" spans="1:76" x14ac:dyDescent="0.25">
      <c r="A786" s="66"/>
      <c r="D786" s="67" t="s">
        <v>198</v>
      </c>
      <c r="E786" s="67" t="s">
        <v>4</v>
      </c>
      <c r="G786" s="68">
        <v>10</v>
      </c>
      <c r="K786" s="59"/>
    </row>
    <row r="787" spans="1:76" x14ac:dyDescent="0.25">
      <c r="A787" s="66"/>
      <c r="D787" s="67" t="s">
        <v>1441</v>
      </c>
      <c r="E787" s="67" t="s">
        <v>4</v>
      </c>
      <c r="G787" s="68">
        <v>275</v>
      </c>
      <c r="K787" s="59"/>
    </row>
    <row r="788" spans="1:76" x14ac:dyDescent="0.25">
      <c r="A788" s="1" t="s">
        <v>805</v>
      </c>
      <c r="B788" s="2" t="s">
        <v>84</v>
      </c>
      <c r="C788" s="2" t="s">
        <v>1442</v>
      </c>
      <c r="D788" s="86" t="s">
        <v>1443</v>
      </c>
      <c r="E788" s="81"/>
      <c r="F788" s="2" t="s">
        <v>178</v>
      </c>
      <c r="G788" s="34">
        <v>11.51657</v>
      </c>
      <c r="H788" s="64">
        <v>0</v>
      </c>
      <c r="I788" s="34">
        <f>ROUND(G788*H788,2)</f>
        <v>0</v>
      </c>
      <c r="J788" s="65" t="s">
        <v>133</v>
      </c>
      <c r="K788" s="59"/>
      <c r="Z788" s="34">
        <f>ROUND(IF(AQ788="5",BJ788,0),2)</f>
        <v>0</v>
      </c>
      <c r="AB788" s="34">
        <f>ROUND(IF(AQ788="1",BH788,0),2)</f>
        <v>0</v>
      </c>
      <c r="AC788" s="34">
        <f>ROUND(IF(AQ788="1",BI788,0),2)</f>
        <v>0</v>
      </c>
      <c r="AD788" s="34">
        <f>ROUND(IF(AQ788="7",BH788,0),2)</f>
        <v>0</v>
      </c>
      <c r="AE788" s="34">
        <f>ROUND(IF(AQ788="7",BI788,0),2)</f>
        <v>0</v>
      </c>
      <c r="AF788" s="34">
        <f>ROUND(IF(AQ788="2",BH788,0),2)</f>
        <v>0</v>
      </c>
      <c r="AG788" s="34">
        <f>ROUND(IF(AQ788="2",BI788,0),2)</f>
        <v>0</v>
      </c>
      <c r="AH788" s="34">
        <f>ROUND(IF(AQ788="0",BJ788,0),2)</f>
        <v>0</v>
      </c>
      <c r="AI788" s="46" t="s">
        <v>84</v>
      </c>
      <c r="AJ788" s="34">
        <f>IF(AN788=0,I788,0)</f>
        <v>0</v>
      </c>
      <c r="AK788" s="34">
        <f>IF(AN788=12,I788,0)</f>
        <v>0</v>
      </c>
      <c r="AL788" s="34">
        <f>IF(AN788=21,I788,0)</f>
        <v>0</v>
      </c>
      <c r="AN788" s="34">
        <v>21</v>
      </c>
      <c r="AO788" s="34">
        <f>H788*0</f>
        <v>0</v>
      </c>
      <c r="AP788" s="34">
        <f>H788*(1-0)</f>
        <v>0</v>
      </c>
      <c r="AQ788" s="65" t="s">
        <v>166</v>
      </c>
      <c r="AV788" s="34">
        <f>ROUND(AW788+AX788,2)</f>
        <v>0</v>
      </c>
      <c r="AW788" s="34">
        <f>ROUND(G788*AO788,2)</f>
        <v>0</v>
      </c>
      <c r="AX788" s="34">
        <f>ROUND(G788*AP788,2)</f>
        <v>0</v>
      </c>
      <c r="AY788" s="65" t="s">
        <v>1422</v>
      </c>
      <c r="AZ788" s="65" t="s">
        <v>1423</v>
      </c>
      <c r="BA788" s="46" t="s">
        <v>136</v>
      </c>
      <c r="BC788" s="34">
        <f>AW788+AX788</f>
        <v>0</v>
      </c>
      <c r="BD788" s="34">
        <f>H788/(100-BE788)*100</f>
        <v>0</v>
      </c>
      <c r="BE788" s="34">
        <v>0</v>
      </c>
      <c r="BF788" s="34">
        <f>788</f>
        <v>788</v>
      </c>
      <c r="BH788" s="34">
        <f>G788*AO788</f>
        <v>0</v>
      </c>
      <c r="BI788" s="34">
        <f>G788*AP788</f>
        <v>0</v>
      </c>
      <c r="BJ788" s="34">
        <f>G788*H788</f>
        <v>0</v>
      </c>
      <c r="BK788" s="34"/>
      <c r="BL788" s="34">
        <v>771</v>
      </c>
      <c r="BW788" s="34">
        <v>21</v>
      </c>
      <c r="BX788" s="3" t="s">
        <v>1443</v>
      </c>
    </row>
    <row r="789" spans="1:76" x14ac:dyDescent="0.25">
      <c r="A789" s="1" t="s">
        <v>1444</v>
      </c>
      <c r="B789" s="2" t="s">
        <v>84</v>
      </c>
      <c r="C789" s="2" t="s">
        <v>1445</v>
      </c>
      <c r="D789" s="86" t="s">
        <v>1446</v>
      </c>
      <c r="E789" s="81"/>
      <c r="F789" s="2" t="s">
        <v>132</v>
      </c>
      <c r="G789" s="34">
        <v>64.400000000000006</v>
      </c>
      <c r="H789" s="64">
        <v>0</v>
      </c>
      <c r="I789" s="34">
        <f>ROUND(G789*H789,2)</f>
        <v>0</v>
      </c>
      <c r="J789" s="65" t="s">
        <v>133</v>
      </c>
      <c r="K789" s="59"/>
      <c r="Z789" s="34">
        <f>ROUND(IF(AQ789="5",BJ789,0),2)</f>
        <v>0</v>
      </c>
      <c r="AB789" s="34">
        <f>ROUND(IF(AQ789="1",BH789,0),2)</f>
        <v>0</v>
      </c>
      <c r="AC789" s="34">
        <f>ROUND(IF(AQ789="1",BI789,0),2)</f>
        <v>0</v>
      </c>
      <c r="AD789" s="34">
        <f>ROUND(IF(AQ789="7",BH789,0),2)</f>
        <v>0</v>
      </c>
      <c r="AE789" s="34">
        <f>ROUND(IF(AQ789="7",BI789,0),2)</f>
        <v>0</v>
      </c>
      <c r="AF789" s="34">
        <f>ROUND(IF(AQ789="2",BH789,0),2)</f>
        <v>0</v>
      </c>
      <c r="AG789" s="34">
        <f>ROUND(IF(AQ789="2",BI789,0),2)</f>
        <v>0</v>
      </c>
      <c r="AH789" s="34">
        <f>ROUND(IF(AQ789="0",BJ789,0),2)</f>
        <v>0</v>
      </c>
      <c r="AI789" s="46" t="s">
        <v>84</v>
      </c>
      <c r="AJ789" s="34">
        <f>IF(AN789=0,I789,0)</f>
        <v>0</v>
      </c>
      <c r="AK789" s="34">
        <f>IF(AN789=12,I789,0)</f>
        <v>0</v>
      </c>
      <c r="AL789" s="34">
        <f>IF(AN789=21,I789,0)</f>
        <v>0</v>
      </c>
      <c r="AN789" s="34">
        <v>21</v>
      </c>
      <c r="AO789" s="34">
        <f>H789*0</f>
        <v>0</v>
      </c>
      <c r="AP789" s="34">
        <f>H789*(1-0)</f>
        <v>0</v>
      </c>
      <c r="AQ789" s="65" t="s">
        <v>175</v>
      </c>
      <c r="AV789" s="34">
        <f>ROUND(AW789+AX789,2)</f>
        <v>0</v>
      </c>
      <c r="AW789" s="34">
        <f>ROUND(G789*AO789,2)</f>
        <v>0</v>
      </c>
      <c r="AX789" s="34">
        <f>ROUND(G789*AP789,2)</f>
        <v>0</v>
      </c>
      <c r="AY789" s="65" t="s">
        <v>1422</v>
      </c>
      <c r="AZ789" s="65" t="s">
        <v>1423</v>
      </c>
      <c r="BA789" s="46" t="s">
        <v>136</v>
      </c>
      <c r="BC789" s="34">
        <f>AW789+AX789</f>
        <v>0</v>
      </c>
      <c r="BD789" s="34">
        <f>H789/(100-BE789)*100</f>
        <v>0</v>
      </c>
      <c r="BE789" s="34">
        <v>0</v>
      </c>
      <c r="BF789" s="34">
        <f>789</f>
        <v>789</v>
      </c>
      <c r="BH789" s="34">
        <f>G789*AO789</f>
        <v>0</v>
      </c>
      <c r="BI789" s="34">
        <f>G789*AP789</f>
        <v>0</v>
      </c>
      <c r="BJ789" s="34">
        <f>G789*H789</f>
        <v>0</v>
      </c>
      <c r="BK789" s="34"/>
      <c r="BL789" s="34">
        <v>771</v>
      </c>
      <c r="BW789" s="34">
        <v>21</v>
      </c>
      <c r="BX789" s="3" t="s">
        <v>1446</v>
      </c>
    </row>
    <row r="790" spans="1:76" x14ac:dyDescent="0.25">
      <c r="A790" s="66"/>
      <c r="D790" s="67" t="s">
        <v>1447</v>
      </c>
      <c r="E790" s="67" t="s">
        <v>4</v>
      </c>
      <c r="G790" s="68">
        <v>64.400000000000006</v>
      </c>
      <c r="K790" s="59"/>
    </row>
    <row r="791" spans="1:76" x14ac:dyDescent="0.25">
      <c r="A791" s="60" t="s">
        <v>4</v>
      </c>
      <c r="B791" s="61" t="s">
        <v>84</v>
      </c>
      <c r="C791" s="61" t="s">
        <v>1448</v>
      </c>
      <c r="D791" s="167" t="s">
        <v>1449</v>
      </c>
      <c r="E791" s="168"/>
      <c r="F791" s="62" t="s">
        <v>79</v>
      </c>
      <c r="G791" s="62" t="s">
        <v>79</v>
      </c>
      <c r="H791" s="63" t="s">
        <v>79</v>
      </c>
      <c r="I791" s="39">
        <f>SUM(I792:I818)</f>
        <v>0</v>
      </c>
      <c r="J791" s="46" t="s">
        <v>4</v>
      </c>
      <c r="K791" s="59"/>
      <c r="AI791" s="46" t="s">
        <v>84</v>
      </c>
      <c r="AS791" s="39">
        <f>SUM(AJ792:AJ818)</f>
        <v>0</v>
      </c>
      <c r="AT791" s="39">
        <f>SUM(AK792:AK818)</f>
        <v>0</v>
      </c>
      <c r="AU791" s="39">
        <f>SUM(AL792:AL818)</f>
        <v>0</v>
      </c>
    </row>
    <row r="792" spans="1:76" x14ac:dyDescent="0.25">
      <c r="A792" s="1" t="s">
        <v>1450</v>
      </c>
      <c r="B792" s="2" t="s">
        <v>84</v>
      </c>
      <c r="C792" s="2" t="s">
        <v>1451</v>
      </c>
      <c r="D792" s="86" t="s">
        <v>1452</v>
      </c>
      <c r="E792" s="81"/>
      <c r="F792" s="2" t="s">
        <v>239</v>
      </c>
      <c r="G792" s="34">
        <v>121.5</v>
      </c>
      <c r="H792" s="64">
        <v>0</v>
      </c>
      <c r="I792" s="34">
        <f>ROUND(G792*H792,2)</f>
        <v>0</v>
      </c>
      <c r="J792" s="65" t="s">
        <v>133</v>
      </c>
      <c r="K792" s="59"/>
      <c r="Z792" s="34">
        <f>ROUND(IF(AQ792="5",BJ792,0),2)</f>
        <v>0</v>
      </c>
      <c r="AB792" s="34">
        <f>ROUND(IF(AQ792="1",BH792,0),2)</f>
        <v>0</v>
      </c>
      <c r="AC792" s="34">
        <f>ROUND(IF(AQ792="1",BI792,0),2)</f>
        <v>0</v>
      </c>
      <c r="AD792" s="34">
        <f>ROUND(IF(AQ792="7",BH792,0),2)</f>
        <v>0</v>
      </c>
      <c r="AE792" s="34">
        <f>ROUND(IF(AQ792="7",BI792,0),2)</f>
        <v>0</v>
      </c>
      <c r="AF792" s="34">
        <f>ROUND(IF(AQ792="2",BH792,0),2)</f>
        <v>0</v>
      </c>
      <c r="AG792" s="34">
        <f>ROUND(IF(AQ792="2",BI792,0),2)</f>
        <v>0</v>
      </c>
      <c r="AH792" s="34">
        <f>ROUND(IF(AQ792="0",BJ792,0),2)</f>
        <v>0</v>
      </c>
      <c r="AI792" s="46" t="s">
        <v>84</v>
      </c>
      <c r="AJ792" s="34">
        <f>IF(AN792=0,I792,0)</f>
        <v>0</v>
      </c>
      <c r="AK792" s="34">
        <f>IF(AN792=12,I792,0)</f>
        <v>0</v>
      </c>
      <c r="AL792" s="34">
        <f>IF(AN792=21,I792,0)</f>
        <v>0</v>
      </c>
      <c r="AN792" s="34">
        <v>21</v>
      </c>
      <c r="AO792" s="34">
        <f>H792*0</f>
        <v>0</v>
      </c>
      <c r="AP792" s="34">
        <f>H792*(1-0)</f>
        <v>0</v>
      </c>
      <c r="AQ792" s="65" t="s">
        <v>175</v>
      </c>
      <c r="AV792" s="34">
        <f>ROUND(AW792+AX792,2)</f>
        <v>0</v>
      </c>
      <c r="AW792" s="34">
        <f>ROUND(G792*AO792,2)</f>
        <v>0</v>
      </c>
      <c r="AX792" s="34">
        <f>ROUND(G792*AP792,2)</f>
        <v>0</v>
      </c>
      <c r="AY792" s="65" t="s">
        <v>1453</v>
      </c>
      <c r="AZ792" s="65" t="s">
        <v>1423</v>
      </c>
      <c r="BA792" s="46" t="s">
        <v>136</v>
      </c>
      <c r="BC792" s="34">
        <f>AW792+AX792</f>
        <v>0</v>
      </c>
      <c r="BD792" s="34">
        <f>H792/(100-BE792)*100</f>
        <v>0</v>
      </c>
      <c r="BE792" s="34">
        <v>0</v>
      </c>
      <c r="BF792" s="34">
        <f>792</f>
        <v>792</v>
      </c>
      <c r="BH792" s="34">
        <f>G792*AO792</f>
        <v>0</v>
      </c>
      <c r="BI792" s="34">
        <f>G792*AP792</f>
        <v>0</v>
      </c>
      <c r="BJ792" s="34">
        <f>G792*H792</f>
        <v>0</v>
      </c>
      <c r="BK792" s="34"/>
      <c r="BL792" s="34">
        <v>776</v>
      </c>
      <c r="BW792" s="34">
        <v>21</v>
      </c>
      <c r="BX792" s="3" t="s">
        <v>1452</v>
      </c>
    </row>
    <row r="793" spans="1:76" ht="13.5" customHeight="1" x14ac:dyDescent="0.25">
      <c r="A793" s="66"/>
      <c r="C793" s="69" t="s">
        <v>204</v>
      </c>
      <c r="D793" s="169" t="s">
        <v>1454</v>
      </c>
      <c r="E793" s="170"/>
      <c r="F793" s="170"/>
      <c r="G793" s="170"/>
      <c r="H793" s="171"/>
      <c r="I793" s="170"/>
      <c r="J793" s="170"/>
      <c r="K793" s="172"/>
    </row>
    <row r="794" spans="1:76" x14ac:dyDescent="0.25">
      <c r="A794" s="66"/>
      <c r="D794" s="67" t="s">
        <v>1455</v>
      </c>
      <c r="E794" s="67" t="s">
        <v>1456</v>
      </c>
      <c r="G794" s="68">
        <v>57.6</v>
      </c>
      <c r="K794" s="59"/>
    </row>
    <row r="795" spans="1:76" x14ac:dyDescent="0.25">
      <c r="A795" s="66"/>
      <c r="D795" s="67" t="s">
        <v>1457</v>
      </c>
      <c r="E795" s="67" t="s">
        <v>4</v>
      </c>
      <c r="G795" s="68">
        <v>63.9</v>
      </c>
      <c r="K795" s="59"/>
    </row>
    <row r="796" spans="1:76" x14ac:dyDescent="0.25">
      <c r="A796" s="1" t="s">
        <v>1387</v>
      </c>
      <c r="B796" s="2" t="s">
        <v>84</v>
      </c>
      <c r="C796" s="2" t="s">
        <v>1458</v>
      </c>
      <c r="D796" s="86" t="s">
        <v>1459</v>
      </c>
      <c r="E796" s="81"/>
      <c r="F796" s="2" t="s">
        <v>132</v>
      </c>
      <c r="G796" s="34">
        <v>227</v>
      </c>
      <c r="H796" s="64">
        <v>0</v>
      </c>
      <c r="I796" s="34">
        <f>ROUND(G796*H796,2)</f>
        <v>0</v>
      </c>
      <c r="J796" s="65" t="s">
        <v>133</v>
      </c>
      <c r="K796" s="59"/>
      <c r="Z796" s="34">
        <f>ROUND(IF(AQ796="5",BJ796,0),2)</f>
        <v>0</v>
      </c>
      <c r="AB796" s="34">
        <f>ROUND(IF(AQ796="1",BH796,0),2)</f>
        <v>0</v>
      </c>
      <c r="AC796" s="34">
        <f>ROUND(IF(AQ796="1",BI796,0),2)</f>
        <v>0</v>
      </c>
      <c r="AD796" s="34">
        <f>ROUND(IF(AQ796="7",BH796,0),2)</f>
        <v>0</v>
      </c>
      <c r="AE796" s="34">
        <f>ROUND(IF(AQ796="7",BI796,0),2)</f>
        <v>0</v>
      </c>
      <c r="AF796" s="34">
        <f>ROUND(IF(AQ796="2",BH796,0),2)</f>
        <v>0</v>
      </c>
      <c r="AG796" s="34">
        <f>ROUND(IF(AQ796="2",BI796,0),2)</f>
        <v>0</v>
      </c>
      <c r="AH796" s="34">
        <f>ROUND(IF(AQ796="0",BJ796,0),2)</f>
        <v>0</v>
      </c>
      <c r="AI796" s="46" t="s">
        <v>84</v>
      </c>
      <c r="AJ796" s="34">
        <f>IF(AN796=0,I796,0)</f>
        <v>0</v>
      </c>
      <c r="AK796" s="34">
        <f>IF(AN796=12,I796,0)</f>
        <v>0</v>
      </c>
      <c r="AL796" s="34">
        <f>IF(AN796=21,I796,0)</f>
        <v>0</v>
      </c>
      <c r="AN796" s="34">
        <v>21</v>
      </c>
      <c r="AO796" s="34">
        <f>H796*0</f>
        <v>0</v>
      </c>
      <c r="AP796" s="34">
        <f>H796*(1-0)</f>
        <v>0</v>
      </c>
      <c r="AQ796" s="65" t="s">
        <v>175</v>
      </c>
      <c r="AV796" s="34">
        <f>ROUND(AW796+AX796,2)</f>
        <v>0</v>
      </c>
      <c r="AW796" s="34">
        <f>ROUND(G796*AO796,2)</f>
        <v>0</v>
      </c>
      <c r="AX796" s="34">
        <f>ROUND(G796*AP796,2)</f>
        <v>0</v>
      </c>
      <c r="AY796" s="65" t="s">
        <v>1453</v>
      </c>
      <c r="AZ796" s="65" t="s">
        <v>1423</v>
      </c>
      <c r="BA796" s="46" t="s">
        <v>136</v>
      </c>
      <c r="BC796" s="34">
        <f>AW796+AX796</f>
        <v>0</v>
      </c>
      <c r="BD796" s="34">
        <f>H796/(100-BE796)*100</f>
        <v>0</v>
      </c>
      <c r="BE796" s="34">
        <v>0</v>
      </c>
      <c r="BF796" s="34">
        <f>796</f>
        <v>796</v>
      </c>
      <c r="BH796" s="34">
        <f>G796*AO796</f>
        <v>0</v>
      </c>
      <c r="BI796" s="34">
        <f>G796*AP796</f>
        <v>0</v>
      </c>
      <c r="BJ796" s="34">
        <f>G796*H796</f>
        <v>0</v>
      </c>
      <c r="BK796" s="34"/>
      <c r="BL796" s="34">
        <v>776</v>
      </c>
      <c r="BW796" s="34">
        <v>21</v>
      </c>
      <c r="BX796" s="3" t="s">
        <v>1459</v>
      </c>
    </row>
    <row r="797" spans="1:76" ht="13.5" customHeight="1" x14ac:dyDescent="0.25">
      <c r="A797" s="66"/>
      <c r="C797" s="69" t="s">
        <v>204</v>
      </c>
      <c r="D797" s="169" t="s">
        <v>1460</v>
      </c>
      <c r="E797" s="170"/>
      <c r="F797" s="170"/>
      <c r="G797" s="170"/>
      <c r="H797" s="171"/>
      <c r="I797" s="170"/>
      <c r="J797" s="170"/>
      <c r="K797" s="172"/>
    </row>
    <row r="798" spans="1:76" x14ac:dyDescent="0.25">
      <c r="A798" s="66"/>
      <c r="D798" s="67" t="s">
        <v>805</v>
      </c>
      <c r="E798" s="67" t="s">
        <v>1461</v>
      </c>
      <c r="G798" s="68">
        <v>227</v>
      </c>
      <c r="K798" s="59"/>
    </row>
    <row r="799" spans="1:76" x14ac:dyDescent="0.25">
      <c r="A799" s="1" t="s">
        <v>1462</v>
      </c>
      <c r="B799" s="2" t="s">
        <v>84</v>
      </c>
      <c r="C799" s="2" t="s">
        <v>1463</v>
      </c>
      <c r="D799" s="86" t="s">
        <v>1464</v>
      </c>
      <c r="E799" s="81"/>
      <c r="F799" s="2" t="s">
        <v>132</v>
      </c>
      <c r="G799" s="34">
        <v>231.8</v>
      </c>
      <c r="H799" s="64">
        <v>0</v>
      </c>
      <c r="I799" s="34">
        <f>ROUND(G799*H799,2)</f>
        <v>0</v>
      </c>
      <c r="J799" s="65" t="s">
        <v>133</v>
      </c>
      <c r="K799" s="59"/>
      <c r="Z799" s="34">
        <f>ROUND(IF(AQ799="5",BJ799,0),2)</f>
        <v>0</v>
      </c>
      <c r="AB799" s="34">
        <f>ROUND(IF(AQ799="1",BH799,0),2)</f>
        <v>0</v>
      </c>
      <c r="AC799" s="34">
        <f>ROUND(IF(AQ799="1",BI799,0),2)</f>
        <v>0</v>
      </c>
      <c r="AD799" s="34">
        <f>ROUND(IF(AQ799="7",BH799,0),2)</f>
        <v>0</v>
      </c>
      <c r="AE799" s="34">
        <f>ROUND(IF(AQ799="7",BI799,0),2)</f>
        <v>0</v>
      </c>
      <c r="AF799" s="34">
        <f>ROUND(IF(AQ799="2",BH799,0),2)</f>
        <v>0</v>
      </c>
      <c r="AG799" s="34">
        <f>ROUND(IF(AQ799="2",BI799,0),2)</f>
        <v>0</v>
      </c>
      <c r="AH799" s="34">
        <f>ROUND(IF(AQ799="0",BJ799,0),2)</f>
        <v>0</v>
      </c>
      <c r="AI799" s="46" t="s">
        <v>84</v>
      </c>
      <c r="AJ799" s="34">
        <f>IF(AN799=0,I799,0)</f>
        <v>0</v>
      </c>
      <c r="AK799" s="34">
        <f>IF(AN799=12,I799,0)</f>
        <v>0</v>
      </c>
      <c r="AL799" s="34">
        <f>IF(AN799=21,I799,0)</f>
        <v>0</v>
      </c>
      <c r="AN799" s="34">
        <v>21</v>
      </c>
      <c r="AO799" s="34">
        <f>H799*0</f>
        <v>0</v>
      </c>
      <c r="AP799" s="34">
        <f>H799*(1-0)</f>
        <v>0</v>
      </c>
      <c r="AQ799" s="65" t="s">
        <v>175</v>
      </c>
      <c r="AV799" s="34">
        <f>ROUND(AW799+AX799,2)</f>
        <v>0</v>
      </c>
      <c r="AW799" s="34">
        <f>ROUND(G799*AO799,2)</f>
        <v>0</v>
      </c>
      <c r="AX799" s="34">
        <f>ROUND(G799*AP799,2)</f>
        <v>0</v>
      </c>
      <c r="AY799" s="65" t="s">
        <v>1453</v>
      </c>
      <c r="AZ799" s="65" t="s">
        <v>1423</v>
      </c>
      <c r="BA799" s="46" t="s">
        <v>136</v>
      </c>
      <c r="BC799" s="34">
        <f>AW799+AX799</f>
        <v>0</v>
      </c>
      <c r="BD799" s="34">
        <f>H799/(100-BE799)*100</f>
        <v>0</v>
      </c>
      <c r="BE799" s="34">
        <v>0</v>
      </c>
      <c r="BF799" s="34">
        <f>799</f>
        <v>799</v>
      </c>
      <c r="BH799" s="34">
        <f>G799*AO799</f>
        <v>0</v>
      </c>
      <c r="BI799" s="34">
        <f>G799*AP799</f>
        <v>0</v>
      </c>
      <c r="BJ799" s="34">
        <f>G799*H799</f>
        <v>0</v>
      </c>
      <c r="BK799" s="34"/>
      <c r="BL799" s="34">
        <v>776</v>
      </c>
      <c r="BW799" s="34">
        <v>21</v>
      </c>
      <c r="BX799" s="3" t="s">
        <v>1464</v>
      </c>
    </row>
    <row r="800" spans="1:76" x14ac:dyDescent="0.25">
      <c r="A800" s="66"/>
      <c r="D800" s="67" t="s">
        <v>1465</v>
      </c>
      <c r="E800" s="67" t="s">
        <v>4</v>
      </c>
      <c r="G800" s="68">
        <v>231.8</v>
      </c>
      <c r="K800" s="59"/>
    </row>
    <row r="801" spans="1:76" x14ac:dyDescent="0.25">
      <c r="A801" s="1" t="s">
        <v>1466</v>
      </c>
      <c r="B801" s="2" t="s">
        <v>84</v>
      </c>
      <c r="C801" s="2" t="s">
        <v>1467</v>
      </c>
      <c r="D801" s="86" t="s">
        <v>1468</v>
      </c>
      <c r="E801" s="81"/>
      <c r="F801" s="2" t="s">
        <v>132</v>
      </c>
      <c r="G801" s="34">
        <v>231.8</v>
      </c>
      <c r="H801" s="64">
        <v>0</v>
      </c>
      <c r="I801" s="34">
        <f>ROUND(G801*H801,2)</f>
        <v>0</v>
      </c>
      <c r="J801" s="65" t="s">
        <v>133</v>
      </c>
      <c r="K801" s="59"/>
      <c r="Z801" s="34">
        <f>ROUND(IF(AQ801="5",BJ801,0),2)</f>
        <v>0</v>
      </c>
      <c r="AB801" s="34">
        <f>ROUND(IF(AQ801="1",BH801,0),2)</f>
        <v>0</v>
      </c>
      <c r="AC801" s="34">
        <f>ROUND(IF(AQ801="1",BI801,0),2)</f>
        <v>0</v>
      </c>
      <c r="AD801" s="34">
        <f>ROUND(IF(AQ801="7",BH801,0),2)</f>
        <v>0</v>
      </c>
      <c r="AE801" s="34">
        <f>ROUND(IF(AQ801="7",BI801,0),2)</f>
        <v>0</v>
      </c>
      <c r="AF801" s="34">
        <f>ROUND(IF(AQ801="2",BH801,0),2)</f>
        <v>0</v>
      </c>
      <c r="AG801" s="34">
        <f>ROUND(IF(AQ801="2",BI801,0),2)</f>
        <v>0</v>
      </c>
      <c r="AH801" s="34">
        <f>ROUND(IF(AQ801="0",BJ801,0),2)</f>
        <v>0</v>
      </c>
      <c r="AI801" s="46" t="s">
        <v>84</v>
      </c>
      <c r="AJ801" s="34">
        <f>IF(AN801=0,I801,0)</f>
        <v>0</v>
      </c>
      <c r="AK801" s="34">
        <f>IF(AN801=12,I801,0)</f>
        <v>0</v>
      </c>
      <c r="AL801" s="34">
        <f>IF(AN801=21,I801,0)</f>
        <v>0</v>
      </c>
      <c r="AN801" s="34">
        <v>21</v>
      </c>
      <c r="AO801" s="34">
        <f>H801*0</f>
        <v>0</v>
      </c>
      <c r="AP801" s="34">
        <f>H801*(1-0)</f>
        <v>0</v>
      </c>
      <c r="AQ801" s="65" t="s">
        <v>175</v>
      </c>
      <c r="AV801" s="34">
        <f>ROUND(AW801+AX801,2)</f>
        <v>0</v>
      </c>
      <c r="AW801" s="34">
        <f>ROUND(G801*AO801,2)</f>
        <v>0</v>
      </c>
      <c r="AX801" s="34">
        <f>ROUND(G801*AP801,2)</f>
        <v>0</v>
      </c>
      <c r="AY801" s="65" t="s">
        <v>1453</v>
      </c>
      <c r="AZ801" s="65" t="s">
        <v>1423</v>
      </c>
      <c r="BA801" s="46" t="s">
        <v>136</v>
      </c>
      <c r="BC801" s="34">
        <f>AW801+AX801</f>
        <v>0</v>
      </c>
      <c r="BD801" s="34">
        <f>H801/(100-BE801)*100</f>
        <v>0</v>
      </c>
      <c r="BE801" s="34">
        <v>0</v>
      </c>
      <c r="BF801" s="34">
        <f>801</f>
        <v>801</v>
      </c>
      <c r="BH801" s="34">
        <f>G801*AO801</f>
        <v>0</v>
      </c>
      <c r="BI801" s="34">
        <f>G801*AP801</f>
        <v>0</v>
      </c>
      <c r="BJ801" s="34">
        <f>G801*H801</f>
        <v>0</v>
      </c>
      <c r="BK801" s="34"/>
      <c r="BL801" s="34">
        <v>776</v>
      </c>
      <c r="BW801" s="34">
        <v>21</v>
      </c>
      <c r="BX801" s="3" t="s">
        <v>1468</v>
      </c>
    </row>
    <row r="802" spans="1:76" x14ac:dyDescent="0.25">
      <c r="A802" s="66"/>
      <c r="D802" s="67" t="s">
        <v>1469</v>
      </c>
      <c r="E802" s="67" t="s">
        <v>1074</v>
      </c>
      <c r="G802" s="68">
        <v>226.8</v>
      </c>
      <c r="K802" s="59"/>
    </row>
    <row r="803" spans="1:76" x14ac:dyDescent="0.25">
      <c r="A803" s="66"/>
      <c r="D803" s="67" t="s">
        <v>166</v>
      </c>
      <c r="E803" s="67" t="s">
        <v>1075</v>
      </c>
      <c r="G803" s="68">
        <v>5</v>
      </c>
      <c r="K803" s="59"/>
    </row>
    <row r="804" spans="1:76" x14ac:dyDescent="0.25">
      <c r="A804" s="1" t="s">
        <v>1470</v>
      </c>
      <c r="B804" s="2" t="s">
        <v>84</v>
      </c>
      <c r="C804" s="2" t="s">
        <v>1471</v>
      </c>
      <c r="D804" s="86" t="s">
        <v>1472</v>
      </c>
      <c r="E804" s="81"/>
      <c r="F804" s="2" t="s">
        <v>1359</v>
      </c>
      <c r="G804" s="34">
        <v>2364.36</v>
      </c>
      <c r="H804" s="64">
        <v>0</v>
      </c>
      <c r="I804" s="34">
        <f>ROUND(G804*H804,2)</f>
        <v>0</v>
      </c>
      <c r="J804" s="65" t="s">
        <v>133</v>
      </c>
      <c r="K804" s="59"/>
      <c r="Z804" s="34">
        <f>ROUND(IF(AQ804="5",BJ804,0),2)</f>
        <v>0</v>
      </c>
      <c r="AB804" s="34">
        <f>ROUND(IF(AQ804="1",BH804,0),2)</f>
        <v>0</v>
      </c>
      <c r="AC804" s="34">
        <f>ROUND(IF(AQ804="1",BI804,0),2)</f>
        <v>0</v>
      </c>
      <c r="AD804" s="34">
        <f>ROUND(IF(AQ804="7",BH804,0),2)</f>
        <v>0</v>
      </c>
      <c r="AE804" s="34">
        <f>ROUND(IF(AQ804="7",BI804,0),2)</f>
        <v>0</v>
      </c>
      <c r="AF804" s="34">
        <f>ROUND(IF(AQ804="2",BH804,0),2)</f>
        <v>0</v>
      </c>
      <c r="AG804" s="34">
        <f>ROUND(IF(AQ804="2",BI804,0),2)</f>
        <v>0</v>
      </c>
      <c r="AH804" s="34">
        <f>ROUND(IF(AQ804="0",BJ804,0),2)</f>
        <v>0</v>
      </c>
      <c r="AI804" s="46" t="s">
        <v>84</v>
      </c>
      <c r="AJ804" s="34">
        <f>IF(AN804=0,I804,0)</f>
        <v>0</v>
      </c>
      <c r="AK804" s="34">
        <f>IF(AN804=12,I804,0)</f>
        <v>0</v>
      </c>
      <c r="AL804" s="34">
        <f>IF(AN804=21,I804,0)</f>
        <v>0</v>
      </c>
      <c r="AN804" s="34">
        <v>21</v>
      </c>
      <c r="AO804" s="34">
        <f>H804*1</f>
        <v>0</v>
      </c>
      <c r="AP804" s="34">
        <f>H804*(1-1)</f>
        <v>0</v>
      </c>
      <c r="AQ804" s="65" t="s">
        <v>175</v>
      </c>
      <c r="AV804" s="34">
        <f>ROUND(AW804+AX804,2)</f>
        <v>0</v>
      </c>
      <c r="AW804" s="34">
        <f>ROUND(G804*AO804,2)</f>
        <v>0</v>
      </c>
      <c r="AX804" s="34">
        <f>ROUND(G804*AP804,2)</f>
        <v>0</v>
      </c>
      <c r="AY804" s="65" t="s">
        <v>1453</v>
      </c>
      <c r="AZ804" s="65" t="s">
        <v>1423</v>
      </c>
      <c r="BA804" s="46" t="s">
        <v>136</v>
      </c>
      <c r="BC804" s="34">
        <f>AW804+AX804</f>
        <v>0</v>
      </c>
      <c r="BD804" s="34">
        <f>H804/(100-BE804)*100</f>
        <v>0</v>
      </c>
      <c r="BE804" s="34">
        <v>0</v>
      </c>
      <c r="BF804" s="34">
        <f>804</f>
        <v>804</v>
      </c>
      <c r="BH804" s="34">
        <f>G804*AO804</f>
        <v>0</v>
      </c>
      <c r="BI804" s="34">
        <f>G804*AP804</f>
        <v>0</v>
      </c>
      <c r="BJ804" s="34">
        <f>G804*H804</f>
        <v>0</v>
      </c>
      <c r="BK804" s="34"/>
      <c r="BL804" s="34">
        <v>776</v>
      </c>
      <c r="BW804" s="34">
        <v>21</v>
      </c>
      <c r="BX804" s="3" t="s">
        <v>1472</v>
      </c>
    </row>
    <row r="805" spans="1:76" x14ac:dyDescent="0.25">
      <c r="A805" s="66"/>
      <c r="D805" s="67" t="s">
        <v>1473</v>
      </c>
      <c r="E805" s="67" t="s">
        <v>1474</v>
      </c>
      <c r="G805" s="68">
        <v>2313.36</v>
      </c>
      <c r="K805" s="59"/>
    </row>
    <row r="806" spans="1:76" x14ac:dyDescent="0.25">
      <c r="A806" s="66"/>
      <c r="D806" s="67" t="s">
        <v>1475</v>
      </c>
      <c r="E806" s="67" t="s">
        <v>1075</v>
      </c>
      <c r="G806" s="68">
        <v>51</v>
      </c>
      <c r="K806" s="59"/>
    </row>
    <row r="807" spans="1:76" x14ac:dyDescent="0.25">
      <c r="A807" s="1" t="s">
        <v>1476</v>
      </c>
      <c r="B807" s="2" t="s">
        <v>84</v>
      </c>
      <c r="C807" s="2" t="s">
        <v>1477</v>
      </c>
      <c r="D807" s="86" t="s">
        <v>1478</v>
      </c>
      <c r="E807" s="81"/>
      <c r="F807" s="2" t="s">
        <v>132</v>
      </c>
      <c r="G807" s="34">
        <v>231.8</v>
      </c>
      <c r="H807" s="64">
        <v>0</v>
      </c>
      <c r="I807" s="34">
        <f>ROUND(G807*H807,2)</f>
        <v>0</v>
      </c>
      <c r="J807" s="65" t="s">
        <v>133</v>
      </c>
      <c r="K807" s="59"/>
      <c r="Z807" s="34">
        <f>ROUND(IF(AQ807="5",BJ807,0),2)</f>
        <v>0</v>
      </c>
      <c r="AB807" s="34">
        <f>ROUND(IF(AQ807="1",BH807,0),2)</f>
        <v>0</v>
      </c>
      <c r="AC807" s="34">
        <f>ROUND(IF(AQ807="1",BI807,0),2)</f>
        <v>0</v>
      </c>
      <c r="AD807" s="34">
        <f>ROUND(IF(AQ807="7",BH807,0),2)</f>
        <v>0</v>
      </c>
      <c r="AE807" s="34">
        <f>ROUND(IF(AQ807="7",BI807,0),2)</f>
        <v>0</v>
      </c>
      <c r="AF807" s="34">
        <f>ROUND(IF(AQ807="2",BH807,0),2)</f>
        <v>0</v>
      </c>
      <c r="AG807" s="34">
        <f>ROUND(IF(AQ807="2",BI807,0),2)</f>
        <v>0</v>
      </c>
      <c r="AH807" s="34">
        <f>ROUND(IF(AQ807="0",BJ807,0),2)</f>
        <v>0</v>
      </c>
      <c r="AI807" s="46" t="s">
        <v>84</v>
      </c>
      <c r="AJ807" s="34">
        <f>IF(AN807=0,I807,0)</f>
        <v>0</v>
      </c>
      <c r="AK807" s="34">
        <f>IF(AN807=12,I807,0)</f>
        <v>0</v>
      </c>
      <c r="AL807" s="34">
        <f>IF(AN807=21,I807,0)</f>
        <v>0</v>
      </c>
      <c r="AN807" s="34">
        <v>21</v>
      </c>
      <c r="AO807" s="34">
        <f>H807*0</f>
        <v>0</v>
      </c>
      <c r="AP807" s="34">
        <f>H807*(1-0)</f>
        <v>0</v>
      </c>
      <c r="AQ807" s="65" t="s">
        <v>175</v>
      </c>
      <c r="AV807" s="34">
        <f>ROUND(AW807+AX807,2)</f>
        <v>0</v>
      </c>
      <c r="AW807" s="34">
        <f>ROUND(G807*AO807,2)</f>
        <v>0</v>
      </c>
      <c r="AX807" s="34">
        <f>ROUND(G807*AP807,2)</f>
        <v>0</v>
      </c>
      <c r="AY807" s="65" t="s">
        <v>1453</v>
      </c>
      <c r="AZ807" s="65" t="s">
        <v>1423</v>
      </c>
      <c r="BA807" s="46" t="s">
        <v>136</v>
      </c>
      <c r="BC807" s="34">
        <f>AW807+AX807</f>
        <v>0</v>
      </c>
      <c r="BD807" s="34">
        <f>H807/(100-BE807)*100</f>
        <v>0</v>
      </c>
      <c r="BE807" s="34">
        <v>0</v>
      </c>
      <c r="BF807" s="34">
        <f>807</f>
        <v>807</v>
      </c>
      <c r="BH807" s="34">
        <f>G807*AO807</f>
        <v>0</v>
      </c>
      <c r="BI807" s="34">
        <f>G807*AP807</f>
        <v>0</v>
      </c>
      <c r="BJ807" s="34">
        <f>G807*H807</f>
        <v>0</v>
      </c>
      <c r="BK807" s="34"/>
      <c r="BL807" s="34">
        <v>776</v>
      </c>
      <c r="BW807" s="34">
        <v>21</v>
      </c>
      <c r="BX807" s="3" t="s">
        <v>1478</v>
      </c>
    </row>
    <row r="808" spans="1:76" x14ac:dyDescent="0.25">
      <c r="A808" s="66"/>
      <c r="D808" s="67" t="s">
        <v>1465</v>
      </c>
      <c r="E808" s="67" t="s">
        <v>4</v>
      </c>
      <c r="G808" s="68">
        <v>231.8</v>
      </c>
      <c r="K808" s="59"/>
    </row>
    <row r="809" spans="1:76" x14ac:dyDescent="0.25">
      <c r="A809" s="1" t="s">
        <v>1479</v>
      </c>
      <c r="B809" s="2" t="s">
        <v>84</v>
      </c>
      <c r="C809" s="2" t="s">
        <v>1480</v>
      </c>
      <c r="D809" s="86" t="s">
        <v>1481</v>
      </c>
      <c r="E809" s="81"/>
      <c r="F809" s="2" t="s">
        <v>132</v>
      </c>
      <c r="G809" s="34">
        <v>231.8</v>
      </c>
      <c r="H809" s="64">
        <v>0</v>
      </c>
      <c r="I809" s="34">
        <f>ROUND(G809*H809,2)</f>
        <v>0</v>
      </c>
      <c r="J809" s="65" t="s">
        <v>133</v>
      </c>
      <c r="K809" s="59"/>
      <c r="Z809" s="34">
        <f>ROUND(IF(AQ809="5",BJ809,0),2)</f>
        <v>0</v>
      </c>
      <c r="AB809" s="34">
        <f>ROUND(IF(AQ809="1",BH809,0),2)</f>
        <v>0</v>
      </c>
      <c r="AC809" s="34">
        <f>ROUND(IF(AQ809="1",BI809,0),2)</f>
        <v>0</v>
      </c>
      <c r="AD809" s="34">
        <f>ROUND(IF(AQ809="7",BH809,0),2)</f>
        <v>0</v>
      </c>
      <c r="AE809" s="34">
        <f>ROUND(IF(AQ809="7",BI809,0),2)</f>
        <v>0</v>
      </c>
      <c r="AF809" s="34">
        <f>ROUND(IF(AQ809="2",BH809,0),2)</f>
        <v>0</v>
      </c>
      <c r="AG809" s="34">
        <f>ROUND(IF(AQ809="2",BI809,0),2)</f>
        <v>0</v>
      </c>
      <c r="AH809" s="34">
        <f>ROUND(IF(AQ809="0",BJ809,0),2)</f>
        <v>0</v>
      </c>
      <c r="AI809" s="46" t="s">
        <v>84</v>
      </c>
      <c r="AJ809" s="34">
        <f>IF(AN809=0,I809,0)</f>
        <v>0</v>
      </c>
      <c r="AK809" s="34">
        <f>IF(AN809=12,I809,0)</f>
        <v>0</v>
      </c>
      <c r="AL809" s="34">
        <f>IF(AN809=21,I809,0)</f>
        <v>0</v>
      </c>
      <c r="AN809" s="34">
        <v>21</v>
      </c>
      <c r="AO809" s="34">
        <f>H809*0.190586236</f>
        <v>0</v>
      </c>
      <c r="AP809" s="34">
        <f>H809*(1-0.190586236)</f>
        <v>0</v>
      </c>
      <c r="AQ809" s="65" t="s">
        <v>175</v>
      </c>
      <c r="AV809" s="34">
        <f>ROUND(AW809+AX809,2)</f>
        <v>0</v>
      </c>
      <c r="AW809" s="34">
        <f>ROUND(G809*AO809,2)</f>
        <v>0</v>
      </c>
      <c r="AX809" s="34">
        <f>ROUND(G809*AP809,2)</f>
        <v>0</v>
      </c>
      <c r="AY809" s="65" t="s">
        <v>1453</v>
      </c>
      <c r="AZ809" s="65" t="s">
        <v>1423</v>
      </c>
      <c r="BA809" s="46" t="s">
        <v>136</v>
      </c>
      <c r="BC809" s="34">
        <f>AW809+AX809</f>
        <v>0</v>
      </c>
      <c r="BD809" s="34">
        <f>H809/(100-BE809)*100</f>
        <v>0</v>
      </c>
      <c r="BE809" s="34">
        <v>0</v>
      </c>
      <c r="BF809" s="34">
        <f>809</f>
        <v>809</v>
      </c>
      <c r="BH809" s="34">
        <f>G809*AO809</f>
        <v>0</v>
      </c>
      <c r="BI809" s="34">
        <f>G809*AP809</f>
        <v>0</v>
      </c>
      <c r="BJ809" s="34">
        <f>G809*H809</f>
        <v>0</v>
      </c>
      <c r="BK809" s="34"/>
      <c r="BL809" s="34">
        <v>776</v>
      </c>
      <c r="BW809" s="34">
        <v>21</v>
      </c>
      <c r="BX809" s="3" t="s">
        <v>1481</v>
      </c>
    </row>
    <row r="810" spans="1:76" ht="13.5" customHeight="1" x14ac:dyDescent="0.25">
      <c r="A810" s="66"/>
      <c r="C810" s="69" t="s">
        <v>204</v>
      </c>
      <c r="D810" s="169" t="s">
        <v>1482</v>
      </c>
      <c r="E810" s="170"/>
      <c r="F810" s="170"/>
      <c r="G810" s="170"/>
      <c r="H810" s="171"/>
      <c r="I810" s="170"/>
      <c r="J810" s="170"/>
      <c r="K810" s="172"/>
    </row>
    <row r="811" spans="1:76" x14ac:dyDescent="0.25">
      <c r="A811" s="66"/>
      <c r="D811" s="67" t="s">
        <v>1465</v>
      </c>
      <c r="E811" s="67" t="s">
        <v>4</v>
      </c>
      <c r="G811" s="68">
        <v>231.8</v>
      </c>
      <c r="K811" s="59"/>
    </row>
    <row r="812" spans="1:76" x14ac:dyDescent="0.25">
      <c r="A812" s="1" t="s">
        <v>1483</v>
      </c>
      <c r="B812" s="2" t="s">
        <v>84</v>
      </c>
      <c r="C812" s="2" t="s">
        <v>1484</v>
      </c>
      <c r="D812" s="86" t="s">
        <v>1485</v>
      </c>
      <c r="E812" s="81"/>
      <c r="F812" s="2" t="s">
        <v>132</v>
      </c>
      <c r="G812" s="34">
        <v>243.39</v>
      </c>
      <c r="H812" s="64">
        <v>0</v>
      </c>
      <c r="I812" s="34">
        <f>ROUND(G812*H812,2)</f>
        <v>0</v>
      </c>
      <c r="J812" s="65" t="s">
        <v>133</v>
      </c>
      <c r="K812" s="59"/>
      <c r="Z812" s="34">
        <f>ROUND(IF(AQ812="5",BJ812,0),2)</f>
        <v>0</v>
      </c>
      <c r="AB812" s="34">
        <f>ROUND(IF(AQ812="1",BH812,0),2)</f>
        <v>0</v>
      </c>
      <c r="AC812" s="34">
        <f>ROUND(IF(AQ812="1",BI812,0),2)</f>
        <v>0</v>
      </c>
      <c r="AD812" s="34">
        <f>ROUND(IF(AQ812="7",BH812,0),2)</f>
        <v>0</v>
      </c>
      <c r="AE812" s="34">
        <f>ROUND(IF(AQ812="7",BI812,0),2)</f>
        <v>0</v>
      </c>
      <c r="AF812" s="34">
        <f>ROUND(IF(AQ812="2",BH812,0),2)</f>
        <v>0</v>
      </c>
      <c r="AG812" s="34">
        <f>ROUND(IF(AQ812="2",BI812,0),2)</f>
        <v>0</v>
      </c>
      <c r="AH812" s="34">
        <f>ROUND(IF(AQ812="0",BJ812,0),2)</f>
        <v>0</v>
      </c>
      <c r="AI812" s="46" t="s">
        <v>84</v>
      </c>
      <c r="AJ812" s="34">
        <f>IF(AN812=0,I812,0)</f>
        <v>0</v>
      </c>
      <c r="AK812" s="34">
        <f>IF(AN812=12,I812,0)</f>
        <v>0</v>
      </c>
      <c r="AL812" s="34">
        <f>IF(AN812=21,I812,0)</f>
        <v>0</v>
      </c>
      <c r="AN812" s="34">
        <v>21</v>
      </c>
      <c r="AO812" s="34">
        <f>H812*1</f>
        <v>0</v>
      </c>
      <c r="AP812" s="34">
        <f>H812*(1-1)</f>
        <v>0</v>
      </c>
      <c r="AQ812" s="65" t="s">
        <v>175</v>
      </c>
      <c r="AV812" s="34">
        <f>ROUND(AW812+AX812,2)</f>
        <v>0</v>
      </c>
      <c r="AW812" s="34">
        <f>ROUND(G812*AO812,2)</f>
        <v>0</v>
      </c>
      <c r="AX812" s="34">
        <f>ROUND(G812*AP812,2)</f>
        <v>0</v>
      </c>
      <c r="AY812" s="65" t="s">
        <v>1453</v>
      </c>
      <c r="AZ812" s="65" t="s">
        <v>1423</v>
      </c>
      <c r="BA812" s="46" t="s">
        <v>136</v>
      </c>
      <c r="BC812" s="34">
        <f>AW812+AX812</f>
        <v>0</v>
      </c>
      <c r="BD812" s="34">
        <f>H812/(100-BE812)*100</f>
        <v>0</v>
      </c>
      <c r="BE812" s="34">
        <v>0</v>
      </c>
      <c r="BF812" s="34">
        <f>812</f>
        <v>812</v>
      </c>
      <c r="BH812" s="34">
        <f>G812*AO812</f>
        <v>0</v>
      </c>
      <c r="BI812" s="34">
        <f>G812*AP812</f>
        <v>0</v>
      </c>
      <c r="BJ812" s="34">
        <f>G812*H812</f>
        <v>0</v>
      </c>
      <c r="BK812" s="34"/>
      <c r="BL812" s="34">
        <v>776</v>
      </c>
      <c r="BW812" s="34">
        <v>21</v>
      </c>
      <c r="BX812" s="3" t="s">
        <v>1485</v>
      </c>
    </row>
    <row r="813" spans="1:76" x14ac:dyDescent="0.25">
      <c r="A813" s="66"/>
      <c r="D813" s="67" t="s">
        <v>1486</v>
      </c>
      <c r="E813" s="67" t="s">
        <v>1074</v>
      </c>
      <c r="G813" s="68">
        <v>238.14</v>
      </c>
      <c r="K813" s="59"/>
    </row>
    <row r="814" spans="1:76" x14ac:dyDescent="0.25">
      <c r="A814" s="66"/>
      <c r="D814" s="67" t="s">
        <v>1487</v>
      </c>
      <c r="E814" s="67" t="s">
        <v>1075</v>
      </c>
      <c r="G814" s="68">
        <v>5.25</v>
      </c>
      <c r="K814" s="59"/>
    </row>
    <row r="815" spans="1:76" x14ac:dyDescent="0.25">
      <c r="A815" s="1" t="s">
        <v>1488</v>
      </c>
      <c r="B815" s="2" t="s">
        <v>84</v>
      </c>
      <c r="C815" s="2" t="s">
        <v>1489</v>
      </c>
      <c r="D815" s="86" t="s">
        <v>1490</v>
      </c>
      <c r="E815" s="81"/>
      <c r="F815" s="2" t="s">
        <v>239</v>
      </c>
      <c r="G815" s="34">
        <v>0</v>
      </c>
      <c r="H815" s="64">
        <v>0</v>
      </c>
      <c r="I815" s="34">
        <f>ROUND(G815*H815,2)</f>
        <v>0</v>
      </c>
      <c r="J815" s="65" t="s">
        <v>133</v>
      </c>
      <c r="K815" s="59"/>
      <c r="Z815" s="34">
        <f>ROUND(IF(AQ815="5",BJ815,0),2)</f>
        <v>0</v>
      </c>
      <c r="AB815" s="34">
        <f>ROUND(IF(AQ815="1",BH815,0),2)</f>
        <v>0</v>
      </c>
      <c r="AC815" s="34">
        <f>ROUND(IF(AQ815="1",BI815,0),2)</f>
        <v>0</v>
      </c>
      <c r="AD815" s="34">
        <f>ROUND(IF(AQ815="7",BH815,0),2)</f>
        <v>0</v>
      </c>
      <c r="AE815" s="34">
        <f>ROUND(IF(AQ815="7",BI815,0),2)</f>
        <v>0</v>
      </c>
      <c r="AF815" s="34">
        <f>ROUND(IF(AQ815="2",BH815,0),2)</f>
        <v>0</v>
      </c>
      <c r="AG815" s="34">
        <f>ROUND(IF(AQ815="2",BI815,0),2)</f>
        <v>0</v>
      </c>
      <c r="AH815" s="34">
        <f>ROUND(IF(AQ815="0",BJ815,0),2)</f>
        <v>0</v>
      </c>
      <c r="AI815" s="46" t="s">
        <v>84</v>
      </c>
      <c r="AJ815" s="34">
        <f>IF(AN815=0,I815,0)</f>
        <v>0</v>
      </c>
      <c r="AK815" s="34">
        <f>IF(AN815=12,I815,0)</f>
        <v>0</v>
      </c>
      <c r="AL815" s="34">
        <f>IF(AN815=21,I815,0)</f>
        <v>0</v>
      </c>
      <c r="AN815" s="34">
        <v>21</v>
      </c>
      <c r="AO815" s="34">
        <f>H815*0</f>
        <v>0</v>
      </c>
      <c r="AP815" s="34">
        <f>H815*(1-0)</f>
        <v>0</v>
      </c>
      <c r="AQ815" s="65" t="s">
        <v>175</v>
      </c>
      <c r="AV815" s="34">
        <f>ROUND(AW815+AX815,2)</f>
        <v>0</v>
      </c>
      <c r="AW815" s="34">
        <f>ROUND(G815*AO815,2)</f>
        <v>0</v>
      </c>
      <c r="AX815" s="34">
        <f>ROUND(G815*AP815,2)</f>
        <v>0</v>
      </c>
      <c r="AY815" s="65" t="s">
        <v>1453</v>
      </c>
      <c r="AZ815" s="65" t="s">
        <v>1423</v>
      </c>
      <c r="BA815" s="46" t="s">
        <v>136</v>
      </c>
      <c r="BC815" s="34">
        <f>AW815+AX815</f>
        <v>0</v>
      </c>
      <c r="BD815" s="34">
        <f>H815/(100-BE815)*100</f>
        <v>0</v>
      </c>
      <c r="BE815" s="34">
        <v>0</v>
      </c>
      <c r="BF815" s="34">
        <f>815</f>
        <v>815</v>
      </c>
      <c r="BH815" s="34">
        <f>G815*AO815</f>
        <v>0</v>
      </c>
      <c r="BI815" s="34">
        <f>G815*AP815</f>
        <v>0</v>
      </c>
      <c r="BJ815" s="34">
        <f>G815*H815</f>
        <v>0</v>
      </c>
      <c r="BK815" s="34"/>
      <c r="BL815" s="34">
        <v>776</v>
      </c>
      <c r="BW815" s="34">
        <v>21</v>
      </c>
      <c r="BX815" s="3" t="s">
        <v>1490</v>
      </c>
    </row>
    <row r="816" spans="1:76" x14ac:dyDescent="0.25">
      <c r="A816" s="1" t="s">
        <v>1491</v>
      </c>
      <c r="B816" s="2" t="s">
        <v>84</v>
      </c>
      <c r="C816" s="2" t="s">
        <v>1492</v>
      </c>
      <c r="D816" s="86" t="s">
        <v>1493</v>
      </c>
      <c r="E816" s="81"/>
      <c r="F816" s="2" t="s">
        <v>239</v>
      </c>
      <c r="G816" s="34">
        <v>0</v>
      </c>
      <c r="H816" s="64">
        <v>0</v>
      </c>
      <c r="I816" s="34">
        <f>ROUND(G816*H816,2)</f>
        <v>0</v>
      </c>
      <c r="J816" s="65" t="s">
        <v>133</v>
      </c>
      <c r="K816" s="59"/>
      <c r="Z816" s="34">
        <f>ROUND(IF(AQ816="5",BJ816,0),2)</f>
        <v>0</v>
      </c>
      <c r="AB816" s="34">
        <f>ROUND(IF(AQ816="1",BH816,0),2)</f>
        <v>0</v>
      </c>
      <c r="AC816" s="34">
        <f>ROUND(IF(AQ816="1",BI816,0),2)</f>
        <v>0</v>
      </c>
      <c r="AD816" s="34">
        <f>ROUND(IF(AQ816="7",BH816,0),2)</f>
        <v>0</v>
      </c>
      <c r="AE816" s="34">
        <f>ROUND(IF(AQ816="7",BI816,0),2)</f>
        <v>0</v>
      </c>
      <c r="AF816" s="34">
        <f>ROUND(IF(AQ816="2",BH816,0),2)</f>
        <v>0</v>
      </c>
      <c r="AG816" s="34">
        <f>ROUND(IF(AQ816="2",BI816,0),2)</f>
        <v>0</v>
      </c>
      <c r="AH816" s="34">
        <f>ROUND(IF(AQ816="0",BJ816,0),2)</f>
        <v>0</v>
      </c>
      <c r="AI816" s="46" t="s">
        <v>84</v>
      </c>
      <c r="AJ816" s="34">
        <f>IF(AN816=0,I816,0)</f>
        <v>0</v>
      </c>
      <c r="AK816" s="34">
        <f>IF(AN816=12,I816,0)</f>
        <v>0</v>
      </c>
      <c r="AL816" s="34">
        <f>IF(AN816=21,I816,0)</f>
        <v>0</v>
      </c>
      <c r="AN816" s="34">
        <v>21</v>
      </c>
      <c r="AO816" s="34">
        <f>H816*0</f>
        <v>0</v>
      </c>
      <c r="AP816" s="34">
        <f>H816*(1-0)</f>
        <v>0</v>
      </c>
      <c r="AQ816" s="65" t="s">
        <v>175</v>
      </c>
      <c r="AV816" s="34">
        <f>ROUND(AW816+AX816,2)</f>
        <v>0</v>
      </c>
      <c r="AW816" s="34">
        <f>ROUND(G816*AO816,2)</f>
        <v>0</v>
      </c>
      <c r="AX816" s="34">
        <f>ROUND(G816*AP816,2)</f>
        <v>0</v>
      </c>
      <c r="AY816" s="65" t="s">
        <v>1453</v>
      </c>
      <c r="AZ816" s="65" t="s">
        <v>1423</v>
      </c>
      <c r="BA816" s="46" t="s">
        <v>136</v>
      </c>
      <c r="BC816" s="34">
        <f>AW816+AX816</f>
        <v>0</v>
      </c>
      <c r="BD816" s="34">
        <f>H816/(100-BE816)*100</f>
        <v>0</v>
      </c>
      <c r="BE816" s="34">
        <v>0</v>
      </c>
      <c r="BF816" s="34">
        <f>816</f>
        <v>816</v>
      </c>
      <c r="BH816" s="34">
        <f>G816*AO816</f>
        <v>0</v>
      </c>
      <c r="BI816" s="34">
        <f>G816*AP816</f>
        <v>0</v>
      </c>
      <c r="BJ816" s="34">
        <f>G816*H816</f>
        <v>0</v>
      </c>
      <c r="BK816" s="34"/>
      <c r="BL816" s="34">
        <v>776</v>
      </c>
      <c r="BW816" s="34">
        <v>21</v>
      </c>
      <c r="BX816" s="3" t="s">
        <v>1493</v>
      </c>
    </row>
    <row r="817" spans="1:76" x14ac:dyDescent="0.25">
      <c r="A817" s="1" t="s">
        <v>1494</v>
      </c>
      <c r="B817" s="2" t="s">
        <v>84</v>
      </c>
      <c r="C817" s="2" t="s">
        <v>1495</v>
      </c>
      <c r="D817" s="86" t="s">
        <v>1496</v>
      </c>
      <c r="E817" s="81"/>
      <c r="F817" s="2" t="s">
        <v>239</v>
      </c>
      <c r="G817" s="34">
        <v>0</v>
      </c>
      <c r="H817" s="64">
        <v>0</v>
      </c>
      <c r="I817" s="34">
        <f>ROUND(G817*H817,2)</f>
        <v>0</v>
      </c>
      <c r="J817" s="65" t="s">
        <v>133</v>
      </c>
      <c r="K817" s="59"/>
      <c r="Z817" s="34">
        <f>ROUND(IF(AQ817="5",BJ817,0),2)</f>
        <v>0</v>
      </c>
      <c r="AB817" s="34">
        <f>ROUND(IF(AQ817="1",BH817,0),2)</f>
        <v>0</v>
      </c>
      <c r="AC817" s="34">
        <f>ROUND(IF(AQ817="1",BI817,0),2)</f>
        <v>0</v>
      </c>
      <c r="AD817" s="34">
        <f>ROUND(IF(AQ817="7",BH817,0),2)</f>
        <v>0</v>
      </c>
      <c r="AE817" s="34">
        <f>ROUND(IF(AQ817="7",BI817,0),2)</f>
        <v>0</v>
      </c>
      <c r="AF817" s="34">
        <f>ROUND(IF(AQ817="2",BH817,0),2)</f>
        <v>0</v>
      </c>
      <c r="AG817" s="34">
        <f>ROUND(IF(AQ817="2",BI817,0),2)</f>
        <v>0</v>
      </c>
      <c r="AH817" s="34">
        <f>ROUND(IF(AQ817="0",BJ817,0),2)</f>
        <v>0</v>
      </c>
      <c r="AI817" s="46" t="s">
        <v>84</v>
      </c>
      <c r="AJ817" s="34">
        <f>IF(AN817=0,I817,0)</f>
        <v>0</v>
      </c>
      <c r="AK817" s="34">
        <f>IF(AN817=12,I817,0)</f>
        <v>0</v>
      </c>
      <c r="AL817" s="34">
        <f>IF(AN817=21,I817,0)</f>
        <v>0</v>
      </c>
      <c r="AN817" s="34">
        <v>21</v>
      </c>
      <c r="AO817" s="34">
        <f>H817*1</f>
        <v>0</v>
      </c>
      <c r="AP817" s="34">
        <f>H817*(1-1)</f>
        <v>0</v>
      </c>
      <c r="AQ817" s="65" t="s">
        <v>175</v>
      </c>
      <c r="AV817" s="34">
        <f>ROUND(AW817+AX817,2)</f>
        <v>0</v>
      </c>
      <c r="AW817" s="34">
        <f>ROUND(G817*AO817,2)</f>
        <v>0</v>
      </c>
      <c r="AX817" s="34">
        <f>ROUND(G817*AP817,2)</f>
        <v>0</v>
      </c>
      <c r="AY817" s="65" t="s">
        <v>1453</v>
      </c>
      <c r="AZ817" s="65" t="s">
        <v>1423</v>
      </c>
      <c r="BA817" s="46" t="s">
        <v>136</v>
      </c>
      <c r="BC817" s="34">
        <f>AW817+AX817</f>
        <v>0</v>
      </c>
      <c r="BD817" s="34">
        <f>H817/(100-BE817)*100</f>
        <v>0</v>
      </c>
      <c r="BE817" s="34">
        <v>0</v>
      </c>
      <c r="BF817" s="34">
        <f>817</f>
        <v>817</v>
      </c>
      <c r="BH817" s="34">
        <f>G817*AO817</f>
        <v>0</v>
      </c>
      <c r="BI817" s="34">
        <f>G817*AP817</f>
        <v>0</v>
      </c>
      <c r="BJ817" s="34">
        <f>G817*H817</f>
        <v>0</v>
      </c>
      <c r="BK817" s="34"/>
      <c r="BL817" s="34">
        <v>776</v>
      </c>
      <c r="BW817" s="34">
        <v>21</v>
      </c>
      <c r="BX817" s="3" t="s">
        <v>1496</v>
      </c>
    </row>
    <row r="818" spans="1:76" x14ac:dyDescent="0.25">
      <c r="A818" s="1" t="s">
        <v>1383</v>
      </c>
      <c r="B818" s="2" t="s">
        <v>84</v>
      </c>
      <c r="C818" s="2" t="s">
        <v>1497</v>
      </c>
      <c r="D818" s="86" t="s">
        <v>1498</v>
      </c>
      <c r="E818" s="81"/>
      <c r="F818" s="2" t="s">
        <v>178</v>
      </c>
      <c r="G818" s="34">
        <v>3.8547099999999999</v>
      </c>
      <c r="H818" s="64">
        <v>0</v>
      </c>
      <c r="I818" s="34">
        <f>ROUND(G818*H818,2)</f>
        <v>0</v>
      </c>
      <c r="J818" s="65" t="s">
        <v>133</v>
      </c>
      <c r="K818" s="59"/>
      <c r="Z818" s="34">
        <f>ROUND(IF(AQ818="5",BJ818,0),2)</f>
        <v>0</v>
      </c>
      <c r="AB818" s="34">
        <f>ROUND(IF(AQ818="1",BH818,0),2)</f>
        <v>0</v>
      </c>
      <c r="AC818" s="34">
        <f>ROUND(IF(AQ818="1",BI818,0),2)</f>
        <v>0</v>
      </c>
      <c r="AD818" s="34">
        <f>ROUND(IF(AQ818="7",BH818,0),2)</f>
        <v>0</v>
      </c>
      <c r="AE818" s="34">
        <f>ROUND(IF(AQ818="7",BI818,0),2)</f>
        <v>0</v>
      </c>
      <c r="AF818" s="34">
        <f>ROUND(IF(AQ818="2",BH818,0),2)</f>
        <v>0</v>
      </c>
      <c r="AG818" s="34">
        <f>ROUND(IF(AQ818="2",BI818,0),2)</f>
        <v>0</v>
      </c>
      <c r="AH818" s="34">
        <f>ROUND(IF(AQ818="0",BJ818,0),2)</f>
        <v>0</v>
      </c>
      <c r="AI818" s="46" t="s">
        <v>84</v>
      </c>
      <c r="AJ818" s="34">
        <f>IF(AN818=0,I818,0)</f>
        <v>0</v>
      </c>
      <c r="AK818" s="34">
        <f>IF(AN818=12,I818,0)</f>
        <v>0</v>
      </c>
      <c r="AL818" s="34">
        <f>IF(AN818=21,I818,0)</f>
        <v>0</v>
      </c>
      <c r="AN818" s="34">
        <v>21</v>
      </c>
      <c r="AO818" s="34">
        <f>H818*0</f>
        <v>0</v>
      </c>
      <c r="AP818" s="34">
        <f>H818*(1-0)</f>
        <v>0</v>
      </c>
      <c r="AQ818" s="65" t="s">
        <v>166</v>
      </c>
      <c r="AV818" s="34">
        <f>ROUND(AW818+AX818,2)</f>
        <v>0</v>
      </c>
      <c r="AW818" s="34">
        <f>ROUND(G818*AO818,2)</f>
        <v>0</v>
      </c>
      <c r="AX818" s="34">
        <f>ROUND(G818*AP818,2)</f>
        <v>0</v>
      </c>
      <c r="AY818" s="65" t="s">
        <v>1453</v>
      </c>
      <c r="AZ818" s="65" t="s">
        <v>1423</v>
      </c>
      <c r="BA818" s="46" t="s">
        <v>136</v>
      </c>
      <c r="BC818" s="34">
        <f>AW818+AX818</f>
        <v>0</v>
      </c>
      <c r="BD818" s="34">
        <f>H818/(100-BE818)*100</f>
        <v>0</v>
      </c>
      <c r="BE818" s="34">
        <v>0</v>
      </c>
      <c r="BF818" s="34">
        <f>818</f>
        <v>818</v>
      </c>
      <c r="BH818" s="34">
        <f>G818*AO818</f>
        <v>0</v>
      </c>
      <c r="BI818" s="34">
        <f>G818*AP818</f>
        <v>0</v>
      </c>
      <c r="BJ818" s="34">
        <f>G818*H818</f>
        <v>0</v>
      </c>
      <c r="BK818" s="34"/>
      <c r="BL818" s="34">
        <v>776</v>
      </c>
      <c r="BW818" s="34">
        <v>21</v>
      </c>
      <c r="BX818" s="3" t="s">
        <v>1498</v>
      </c>
    </row>
    <row r="819" spans="1:76" x14ac:dyDescent="0.25">
      <c r="A819" s="60" t="s">
        <v>4</v>
      </c>
      <c r="B819" s="61" t="s">
        <v>84</v>
      </c>
      <c r="C819" s="61" t="s">
        <v>1499</v>
      </c>
      <c r="D819" s="167" t="s">
        <v>1500</v>
      </c>
      <c r="E819" s="168"/>
      <c r="F819" s="62" t="s">
        <v>79</v>
      </c>
      <c r="G819" s="62" t="s">
        <v>79</v>
      </c>
      <c r="H819" s="63" t="s">
        <v>79</v>
      </c>
      <c r="I819" s="39">
        <f>SUM(I820:I827)</f>
        <v>0</v>
      </c>
      <c r="J819" s="46" t="s">
        <v>4</v>
      </c>
      <c r="K819" s="59"/>
      <c r="AI819" s="46" t="s">
        <v>84</v>
      </c>
      <c r="AS819" s="39">
        <f>SUM(AJ820:AJ827)</f>
        <v>0</v>
      </c>
      <c r="AT819" s="39">
        <f>SUM(AK820:AK827)</f>
        <v>0</v>
      </c>
      <c r="AU819" s="39">
        <f>SUM(AL820:AL827)</f>
        <v>0</v>
      </c>
    </row>
    <row r="820" spans="1:76" x14ac:dyDescent="0.25">
      <c r="A820" s="1" t="s">
        <v>1501</v>
      </c>
      <c r="B820" s="2" t="s">
        <v>84</v>
      </c>
      <c r="C820" s="2" t="s">
        <v>1502</v>
      </c>
      <c r="D820" s="86" t="s">
        <v>1503</v>
      </c>
      <c r="E820" s="81"/>
      <c r="F820" s="2" t="s">
        <v>132</v>
      </c>
      <c r="G820" s="34">
        <v>340</v>
      </c>
      <c r="H820" s="64">
        <v>0</v>
      </c>
      <c r="I820" s="34">
        <f>ROUND(G820*H820,2)</f>
        <v>0</v>
      </c>
      <c r="J820" s="65" t="s">
        <v>133</v>
      </c>
      <c r="K820" s="59"/>
      <c r="Z820" s="34">
        <f>ROUND(IF(AQ820="5",BJ820,0),2)</f>
        <v>0</v>
      </c>
      <c r="AB820" s="34">
        <f>ROUND(IF(AQ820="1",BH820,0),2)</f>
        <v>0</v>
      </c>
      <c r="AC820" s="34">
        <f>ROUND(IF(AQ820="1",BI820,0),2)</f>
        <v>0</v>
      </c>
      <c r="AD820" s="34">
        <f>ROUND(IF(AQ820="7",BH820,0),2)</f>
        <v>0</v>
      </c>
      <c r="AE820" s="34">
        <f>ROUND(IF(AQ820="7",BI820,0),2)</f>
        <v>0</v>
      </c>
      <c r="AF820" s="34">
        <f>ROUND(IF(AQ820="2",BH820,0),2)</f>
        <v>0</v>
      </c>
      <c r="AG820" s="34">
        <f>ROUND(IF(AQ820="2",BI820,0),2)</f>
        <v>0</v>
      </c>
      <c r="AH820" s="34">
        <f>ROUND(IF(AQ820="0",BJ820,0),2)</f>
        <v>0</v>
      </c>
      <c r="AI820" s="46" t="s">
        <v>84</v>
      </c>
      <c r="AJ820" s="34">
        <f>IF(AN820=0,I820,0)</f>
        <v>0</v>
      </c>
      <c r="AK820" s="34">
        <f>IF(AN820=12,I820,0)</f>
        <v>0</v>
      </c>
      <c r="AL820" s="34">
        <f>IF(AN820=21,I820,0)</f>
        <v>0</v>
      </c>
      <c r="AN820" s="34">
        <v>21</v>
      </c>
      <c r="AO820" s="34">
        <f>H820*0.377886497</f>
        <v>0</v>
      </c>
      <c r="AP820" s="34">
        <f>H820*(1-0.377886497)</f>
        <v>0</v>
      </c>
      <c r="AQ820" s="65" t="s">
        <v>175</v>
      </c>
      <c r="AV820" s="34">
        <f>ROUND(AW820+AX820,2)</f>
        <v>0</v>
      </c>
      <c r="AW820" s="34">
        <f>ROUND(G820*AO820,2)</f>
        <v>0</v>
      </c>
      <c r="AX820" s="34">
        <f>ROUND(G820*AP820,2)</f>
        <v>0</v>
      </c>
      <c r="AY820" s="65" t="s">
        <v>1504</v>
      </c>
      <c r="AZ820" s="65" t="s">
        <v>1505</v>
      </c>
      <c r="BA820" s="46" t="s">
        <v>136</v>
      </c>
      <c r="BC820" s="34">
        <f>AW820+AX820</f>
        <v>0</v>
      </c>
      <c r="BD820" s="34">
        <f>H820/(100-BE820)*100</f>
        <v>0</v>
      </c>
      <c r="BE820" s="34">
        <v>0</v>
      </c>
      <c r="BF820" s="34">
        <f>820</f>
        <v>820</v>
      </c>
      <c r="BH820" s="34">
        <f>G820*AO820</f>
        <v>0</v>
      </c>
      <c r="BI820" s="34">
        <f>G820*AP820</f>
        <v>0</v>
      </c>
      <c r="BJ820" s="34">
        <f>G820*H820</f>
        <v>0</v>
      </c>
      <c r="BK820" s="34"/>
      <c r="BL820" s="34">
        <v>781</v>
      </c>
      <c r="BW820" s="34">
        <v>21</v>
      </c>
      <c r="BX820" s="3" t="s">
        <v>1503</v>
      </c>
    </row>
    <row r="821" spans="1:76" ht="13.5" customHeight="1" x14ac:dyDescent="0.25">
      <c r="A821" s="66"/>
      <c r="C821" s="69" t="s">
        <v>204</v>
      </c>
      <c r="D821" s="169" t="s">
        <v>1428</v>
      </c>
      <c r="E821" s="170"/>
      <c r="F821" s="170"/>
      <c r="G821" s="170"/>
      <c r="H821" s="171"/>
      <c r="I821" s="170"/>
      <c r="J821" s="170"/>
      <c r="K821" s="172"/>
    </row>
    <row r="822" spans="1:76" x14ac:dyDescent="0.25">
      <c r="A822" s="66"/>
      <c r="D822" s="67" t="s">
        <v>1506</v>
      </c>
      <c r="E822" s="67" t="s">
        <v>4</v>
      </c>
      <c r="G822" s="68">
        <v>340</v>
      </c>
      <c r="K822" s="59"/>
    </row>
    <row r="823" spans="1:76" x14ac:dyDescent="0.25">
      <c r="A823" s="1" t="s">
        <v>1507</v>
      </c>
      <c r="B823" s="2" t="s">
        <v>84</v>
      </c>
      <c r="C823" s="2" t="s">
        <v>1508</v>
      </c>
      <c r="D823" s="86" t="s">
        <v>1509</v>
      </c>
      <c r="E823" s="81"/>
      <c r="F823" s="2" t="s">
        <v>132</v>
      </c>
      <c r="G823" s="34">
        <v>340</v>
      </c>
      <c r="H823" s="64">
        <v>0</v>
      </c>
      <c r="I823" s="34">
        <f>ROUND(G823*H823,2)</f>
        <v>0</v>
      </c>
      <c r="J823" s="65" t="s">
        <v>133</v>
      </c>
      <c r="K823" s="59"/>
      <c r="Z823" s="34">
        <f>ROUND(IF(AQ823="5",BJ823,0),2)</f>
        <v>0</v>
      </c>
      <c r="AB823" s="34">
        <f>ROUND(IF(AQ823="1",BH823,0),2)</f>
        <v>0</v>
      </c>
      <c r="AC823" s="34">
        <f>ROUND(IF(AQ823="1",BI823,0),2)</f>
        <v>0</v>
      </c>
      <c r="AD823" s="34">
        <f>ROUND(IF(AQ823="7",BH823,0),2)</f>
        <v>0</v>
      </c>
      <c r="AE823" s="34">
        <f>ROUND(IF(AQ823="7",BI823,0),2)</f>
        <v>0</v>
      </c>
      <c r="AF823" s="34">
        <f>ROUND(IF(AQ823="2",BH823,0),2)</f>
        <v>0</v>
      </c>
      <c r="AG823" s="34">
        <f>ROUND(IF(AQ823="2",BI823,0),2)</f>
        <v>0</v>
      </c>
      <c r="AH823" s="34">
        <f>ROUND(IF(AQ823="0",BJ823,0),2)</f>
        <v>0</v>
      </c>
      <c r="AI823" s="46" t="s">
        <v>84</v>
      </c>
      <c r="AJ823" s="34">
        <f>IF(AN823=0,I823,0)</f>
        <v>0</v>
      </c>
      <c r="AK823" s="34">
        <f>IF(AN823=12,I823,0)</f>
        <v>0</v>
      </c>
      <c r="AL823" s="34">
        <f>IF(AN823=21,I823,0)</f>
        <v>0</v>
      </c>
      <c r="AN823" s="34">
        <v>21</v>
      </c>
      <c r="AO823" s="34">
        <f>H823*0</f>
        <v>0</v>
      </c>
      <c r="AP823" s="34">
        <f>H823*(1-0)</f>
        <v>0</v>
      </c>
      <c r="AQ823" s="65" t="s">
        <v>175</v>
      </c>
      <c r="AV823" s="34">
        <f>ROUND(AW823+AX823,2)</f>
        <v>0</v>
      </c>
      <c r="AW823" s="34">
        <f>ROUND(G823*AO823,2)</f>
        <v>0</v>
      </c>
      <c r="AX823" s="34">
        <f>ROUND(G823*AP823,2)</f>
        <v>0</v>
      </c>
      <c r="AY823" s="65" t="s">
        <v>1504</v>
      </c>
      <c r="AZ823" s="65" t="s">
        <v>1505</v>
      </c>
      <c r="BA823" s="46" t="s">
        <v>136</v>
      </c>
      <c r="BC823" s="34">
        <f>AW823+AX823</f>
        <v>0</v>
      </c>
      <c r="BD823" s="34">
        <f>H823/(100-BE823)*100</f>
        <v>0</v>
      </c>
      <c r="BE823" s="34">
        <v>0</v>
      </c>
      <c r="BF823" s="34">
        <f>823</f>
        <v>823</v>
      </c>
      <c r="BH823" s="34">
        <f>G823*AO823</f>
        <v>0</v>
      </c>
      <c r="BI823" s="34">
        <f>G823*AP823</f>
        <v>0</v>
      </c>
      <c r="BJ823" s="34">
        <f>G823*H823</f>
        <v>0</v>
      </c>
      <c r="BK823" s="34"/>
      <c r="BL823" s="34">
        <v>781</v>
      </c>
      <c r="BW823" s="34">
        <v>21</v>
      </c>
      <c r="BX823" s="3" t="s">
        <v>1509</v>
      </c>
    </row>
    <row r="824" spans="1:76" x14ac:dyDescent="0.25">
      <c r="A824" s="66"/>
      <c r="D824" s="67" t="s">
        <v>1506</v>
      </c>
      <c r="E824" s="67" t="s">
        <v>4</v>
      </c>
      <c r="G824" s="68">
        <v>340</v>
      </c>
      <c r="K824" s="59"/>
    </row>
    <row r="825" spans="1:76" x14ac:dyDescent="0.25">
      <c r="A825" s="1" t="s">
        <v>1510</v>
      </c>
      <c r="B825" s="2" t="s">
        <v>84</v>
      </c>
      <c r="C825" s="2" t="s">
        <v>1511</v>
      </c>
      <c r="D825" s="86" t="s">
        <v>1512</v>
      </c>
      <c r="E825" s="81"/>
      <c r="F825" s="2" t="s">
        <v>132</v>
      </c>
      <c r="G825" s="34">
        <v>374</v>
      </c>
      <c r="H825" s="64">
        <v>0</v>
      </c>
      <c r="I825" s="34">
        <f>ROUND(G825*H825,2)</f>
        <v>0</v>
      </c>
      <c r="J825" s="65" t="s">
        <v>398</v>
      </c>
      <c r="K825" s="59"/>
      <c r="Z825" s="34">
        <f>ROUND(IF(AQ825="5",BJ825,0),2)</f>
        <v>0</v>
      </c>
      <c r="AB825" s="34">
        <f>ROUND(IF(AQ825="1",BH825,0),2)</f>
        <v>0</v>
      </c>
      <c r="AC825" s="34">
        <f>ROUND(IF(AQ825="1",BI825,0),2)</f>
        <v>0</v>
      </c>
      <c r="AD825" s="34">
        <f>ROUND(IF(AQ825="7",BH825,0),2)</f>
        <v>0</v>
      </c>
      <c r="AE825" s="34">
        <f>ROUND(IF(AQ825="7",BI825,0),2)</f>
        <v>0</v>
      </c>
      <c r="AF825" s="34">
        <f>ROUND(IF(AQ825="2",BH825,0),2)</f>
        <v>0</v>
      </c>
      <c r="AG825" s="34">
        <f>ROUND(IF(AQ825="2",BI825,0),2)</f>
        <v>0</v>
      </c>
      <c r="AH825" s="34">
        <f>ROUND(IF(AQ825="0",BJ825,0),2)</f>
        <v>0</v>
      </c>
      <c r="AI825" s="46" t="s">
        <v>84</v>
      </c>
      <c r="AJ825" s="34">
        <f>IF(AN825=0,I825,0)</f>
        <v>0</v>
      </c>
      <c r="AK825" s="34">
        <f>IF(AN825=12,I825,0)</f>
        <v>0</v>
      </c>
      <c r="AL825" s="34">
        <f>IF(AN825=21,I825,0)</f>
        <v>0</v>
      </c>
      <c r="AN825" s="34">
        <v>21</v>
      </c>
      <c r="AO825" s="34">
        <f>H825*1</f>
        <v>0</v>
      </c>
      <c r="AP825" s="34">
        <f>H825*(1-1)</f>
        <v>0</v>
      </c>
      <c r="AQ825" s="65" t="s">
        <v>175</v>
      </c>
      <c r="AV825" s="34">
        <f>ROUND(AW825+AX825,2)</f>
        <v>0</v>
      </c>
      <c r="AW825" s="34">
        <f>ROUND(G825*AO825,2)</f>
        <v>0</v>
      </c>
      <c r="AX825" s="34">
        <f>ROUND(G825*AP825,2)</f>
        <v>0</v>
      </c>
      <c r="AY825" s="65" t="s">
        <v>1504</v>
      </c>
      <c r="AZ825" s="65" t="s">
        <v>1505</v>
      </c>
      <c r="BA825" s="46" t="s">
        <v>136</v>
      </c>
      <c r="BC825" s="34">
        <f>AW825+AX825</f>
        <v>0</v>
      </c>
      <c r="BD825" s="34">
        <f>H825/(100-BE825)*100</f>
        <v>0</v>
      </c>
      <c r="BE825" s="34">
        <v>0</v>
      </c>
      <c r="BF825" s="34">
        <f>825</f>
        <v>825</v>
      </c>
      <c r="BH825" s="34">
        <f>G825*AO825</f>
        <v>0</v>
      </c>
      <c r="BI825" s="34">
        <f>G825*AP825</f>
        <v>0</v>
      </c>
      <c r="BJ825" s="34">
        <f>G825*H825</f>
        <v>0</v>
      </c>
      <c r="BK825" s="34"/>
      <c r="BL825" s="34">
        <v>781</v>
      </c>
      <c r="BW825" s="34">
        <v>21</v>
      </c>
      <c r="BX825" s="3" t="s">
        <v>1512</v>
      </c>
    </row>
    <row r="826" spans="1:76" x14ac:dyDescent="0.25">
      <c r="A826" s="66"/>
      <c r="D826" s="67" t="s">
        <v>1513</v>
      </c>
      <c r="E826" s="67" t="s">
        <v>4</v>
      </c>
      <c r="G826" s="68">
        <v>374</v>
      </c>
      <c r="K826" s="59"/>
    </row>
    <row r="827" spans="1:76" x14ac:dyDescent="0.25">
      <c r="A827" s="1" t="s">
        <v>1514</v>
      </c>
      <c r="B827" s="2" t="s">
        <v>84</v>
      </c>
      <c r="C827" s="2" t="s">
        <v>1515</v>
      </c>
      <c r="D827" s="86" t="s">
        <v>1516</v>
      </c>
      <c r="E827" s="81"/>
      <c r="F827" s="2" t="s">
        <v>178</v>
      </c>
      <c r="G827" s="34">
        <v>16.674959999999999</v>
      </c>
      <c r="H827" s="64">
        <v>0</v>
      </c>
      <c r="I827" s="34">
        <f>ROUND(G827*H827,2)</f>
        <v>0</v>
      </c>
      <c r="J827" s="65" t="s">
        <v>133</v>
      </c>
      <c r="K827" s="59"/>
      <c r="Z827" s="34">
        <f>ROUND(IF(AQ827="5",BJ827,0),2)</f>
        <v>0</v>
      </c>
      <c r="AB827" s="34">
        <f>ROUND(IF(AQ827="1",BH827,0),2)</f>
        <v>0</v>
      </c>
      <c r="AC827" s="34">
        <f>ROUND(IF(AQ827="1",BI827,0),2)</f>
        <v>0</v>
      </c>
      <c r="AD827" s="34">
        <f>ROUND(IF(AQ827="7",BH827,0),2)</f>
        <v>0</v>
      </c>
      <c r="AE827" s="34">
        <f>ROUND(IF(AQ827="7",BI827,0),2)</f>
        <v>0</v>
      </c>
      <c r="AF827" s="34">
        <f>ROUND(IF(AQ827="2",BH827,0),2)</f>
        <v>0</v>
      </c>
      <c r="AG827" s="34">
        <f>ROUND(IF(AQ827="2",BI827,0),2)</f>
        <v>0</v>
      </c>
      <c r="AH827" s="34">
        <f>ROUND(IF(AQ827="0",BJ827,0),2)</f>
        <v>0</v>
      </c>
      <c r="AI827" s="46" t="s">
        <v>84</v>
      </c>
      <c r="AJ827" s="34">
        <f>IF(AN827=0,I827,0)</f>
        <v>0</v>
      </c>
      <c r="AK827" s="34">
        <f>IF(AN827=12,I827,0)</f>
        <v>0</v>
      </c>
      <c r="AL827" s="34">
        <f>IF(AN827=21,I827,0)</f>
        <v>0</v>
      </c>
      <c r="AN827" s="34">
        <v>21</v>
      </c>
      <c r="AO827" s="34">
        <f>H827*0</f>
        <v>0</v>
      </c>
      <c r="AP827" s="34">
        <f>H827*(1-0)</f>
        <v>0</v>
      </c>
      <c r="AQ827" s="65" t="s">
        <v>166</v>
      </c>
      <c r="AV827" s="34">
        <f>ROUND(AW827+AX827,2)</f>
        <v>0</v>
      </c>
      <c r="AW827" s="34">
        <f>ROUND(G827*AO827,2)</f>
        <v>0</v>
      </c>
      <c r="AX827" s="34">
        <f>ROUND(G827*AP827,2)</f>
        <v>0</v>
      </c>
      <c r="AY827" s="65" t="s">
        <v>1504</v>
      </c>
      <c r="AZ827" s="65" t="s">
        <v>1505</v>
      </c>
      <c r="BA827" s="46" t="s">
        <v>136</v>
      </c>
      <c r="BC827" s="34">
        <f>AW827+AX827</f>
        <v>0</v>
      </c>
      <c r="BD827" s="34">
        <f>H827/(100-BE827)*100</f>
        <v>0</v>
      </c>
      <c r="BE827" s="34">
        <v>0</v>
      </c>
      <c r="BF827" s="34">
        <f>827</f>
        <v>827</v>
      </c>
      <c r="BH827" s="34">
        <f>G827*AO827</f>
        <v>0</v>
      </c>
      <c r="BI827" s="34">
        <f>G827*AP827</f>
        <v>0</v>
      </c>
      <c r="BJ827" s="34">
        <f>G827*H827</f>
        <v>0</v>
      </c>
      <c r="BK827" s="34"/>
      <c r="BL827" s="34">
        <v>781</v>
      </c>
      <c r="BW827" s="34">
        <v>21</v>
      </c>
      <c r="BX827" s="3" t="s">
        <v>1516</v>
      </c>
    </row>
    <row r="828" spans="1:76" x14ac:dyDescent="0.25">
      <c r="A828" s="60" t="s">
        <v>4</v>
      </c>
      <c r="B828" s="61" t="s">
        <v>84</v>
      </c>
      <c r="C828" s="61" t="s">
        <v>1517</v>
      </c>
      <c r="D828" s="167" t="s">
        <v>1518</v>
      </c>
      <c r="E828" s="168"/>
      <c r="F828" s="62" t="s">
        <v>79</v>
      </c>
      <c r="G828" s="62" t="s">
        <v>79</v>
      </c>
      <c r="H828" s="63" t="s">
        <v>79</v>
      </c>
      <c r="I828" s="39">
        <f>SUM(I829:I829)</f>
        <v>0</v>
      </c>
      <c r="J828" s="46" t="s">
        <v>4</v>
      </c>
      <c r="K828" s="59"/>
      <c r="AI828" s="46" t="s">
        <v>84</v>
      </c>
      <c r="AS828" s="39">
        <f>SUM(AJ829:AJ829)</f>
        <v>0</v>
      </c>
      <c r="AT828" s="39">
        <f>SUM(AK829:AK829)</f>
        <v>0</v>
      </c>
      <c r="AU828" s="39">
        <f>SUM(AL829:AL829)</f>
        <v>0</v>
      </c>
    </row>
    <row r="829" spans="1:76" x14ac:dyDescent="0.25">
      <c r="A829" s="1" t="s">
        <v>1519</v>
      </c>
      <c r="B829" s="2" t="s">
        <v>84</v>
      </c>
      <c r="C829" s="2" t="s">
        <v>1520</v>
      </c>
      <c r="D829" s="86" t="s">
        <v>1521</v>
      </c>
      <c r="E829" s="81"/>
      <c r="F829" s="2" t="s">
        <v>132</v>
      </c>
      <c r="G829" s="34">
        <v>17</v>
      </c>
      <c r="H829" s="64">
        <v>0</v>
      </c>
      <c r="I829" s="34">
        <f>ROUND(G829*H829,2)</f>
        <v>0</v>
      </c>
      <c r="J829" s="65" t="s">
        <v>133</v>
      </c>
      <c r="K829" s="59"/>
      <c r="Z829" s="34">
        <f>ROUND(IF(AQ829="5",BJ829,0),2)</f>
        <v>0</v>
      </c>
      <c r="AB829" s="34">
        <f>ROUND(IF(AQ829="1",BH829,0),2)</f>
        <v>0</v>
      </c>
      <c r="AC829" s="34">
        <f>ROUND(IF(AQ829="1",BI829,0),2)</f>
        <v>0</v>
      </c>
      <c r="AD829" s="34">
        <f>ROUND(IF(AQ829="7",BH829,0),2)</f>
        <v>0</v>
      </c>
      <c r="AE829" s="34">
        <f>ROUND(IF(AQ829="7",BI829,0),2)</f>
        <v>0</v>
      </c>
      <c r="AF829" s="34">
        <f>ROUND(IF(AQ829="2",BH829,0),2)</f>
        <v>0</v>
      </c>
      <c r="AG829" s="34">
        <f>ROUND(IF(AQ829="2",BI829,0),2)</f>
        <v>0</v>
      </c>
      <c r="AH829" s="34">
        <f>ROUND(IF(AQ829="0",BJ829,0),2)</f>
        <v>0</v>
      </c>
      <c r="AI829" s="46" t="s">
        <v>84</v>
      </c>
      <c r="AJ829" s="34">
        <f>IF(AN829=0,I829,0)</f>
        <v>0</v>
      </c>
      <c r="AK829" s="34">
        <f>IF(AN829=12,I829,0)</f>
        <v>0</v>
      </c>
      <c r="AL829" s="34">
        <f>IF(AN829=21,I829,0)</f>
        <v>0</v>
      </c>
      <c r="AN829" s="34">
        <v>21</v>
      </c>
      <c r="AO829" s="34">
        <f>H829*0.400389222</f>
        <v>0</v>
      </c>
      <c r="AP829" s="34">
        <f>H829*(1-0.400389222)</f>
        <v>0</v>
      </c>
      <c r="AQ829" s="65" t="s">
        <v>175</v>
      </c>
      <c r="AV829" s="34">
        <f>ROUND(AW829+AX829,2)</f>
        <v>0</v>
      </c>
      <c r="AW829" s="34">
        <f>ROUND(G829*AO829,2)</f>
        <v>0</v>
      </c>
      <c r="AX829" s="34">
        <f>ROUND(G829*AP829,2)</f>
        <v>0</v>
      </c>
      <c r="AY829" s="65" t="s">
        <v>1522</v>
      </c>
      <c r="AZ829" s="65" t="s">
        <v>1505</v>
      </c>
      <c r="BA829" s="46" t="s">
        <v>136</v>
      </c>
      <c r="BC829" s="34">
        <f>AW829+AX829</f>
        <v>0</v>
      </c>
      <c r="BD829" s="34">
        <f>H829/(100-BE829)*100</f>
        <v>0</v>
      </c>
      <c r="BE829" s="34">
        <v>0</v>
      </c>
      <c r="BF829" s="34">
        <f>829</f>
        <v>829</v>
      </c>
      <c r="BH829" s="34">
        <f>G829*AO829</f>
        <v>0</v>
      </c>
      <c r="BI829" s="34">
        <f>G829*AP829</f>
        <v>0</v>
      </c>
      <c r="BJ829" s="34">
        <f>G829*H829</f>
        <v>0</v>
      </c>
      <c r="BK829" s="34"/>
      <c r="BL829" s="34">
        <v>783</v>
      </c>
      <c r="BW829" s="34">
        <v>21</v>
      </c>
      <c r="BX829" s="3" t="s">
        <v>1521</v>
      </c>
    </row>
    <row r="830" spans="1:76" ht="13.5" customHeight="1" x14ac:dyDescent="0.25">
      <c r="A830" s="66"/>
      <c r="C830" s="69" t="s">
        <v>204</v>
      </c>
      <c r="D830" s="169" t="s">
        <v>1523</v>
      </c>
      <c r="E830" s="170"/>
      <c r="F830" s="170"/>
      <c r="G830" s="170"/>
      <c r="H830" s="171"/>
      <c r="I830" s="170"/>
      <c r="J830" s="170"/>
      <c r="K830" s="172"/>
    </row>
    <row r="831" spans="1:76" x14ac:dyDescent="0.25">
      <c r="A831" s="66"/>
      <c r="D831" s="67" t="s">
        <v>180</v>
      </c>
      <c r="E831" s="67" t="s">
        <v>4</v>
      </c>
      <c r="G831" s="68">
        <v>17</v>
      </c>
      <c r="K831" s="59"/>
    </row>
    <row r="832" spans="1:76" x14ac:dyDescent="0.25">
      <c r="A832" s="60" t="s">
        <v>4</v>
      </c>
      <c r="B832" s="61" t="s">
        <v>84</v>
      </c>
      <c r="C832" s="61" t="s">
        <v>1524</v>
      </c>
      <c r="D832" s="167" t="s">
        <v>1525</v>
      </c>
      <c r="E832" s="168"/>
      <c r="F832" s="62" t="s">
        <v>79</v>
      </c>
      <c r="G832" s="62" t="s">
        <v>79</v>
      </c>
      <c r="H832" s="63" t="s">
        <v>79</v>
      </c>
      <c r="I832" s="39">
        <f>SUM(I833:I836)</f>
        <v>0</v>
      </c>
      <c r="J832" s="46" t="s">
        <v>4</v>
      </c>
      <c r="K832" s="59"/>
      <c r="AI832" s="46" t="s">
        <v>84</v>
      </c>
      <c r="AS832" s="39">
        <f>SUM(AJ833:AJ836)</f>
        <v>0</v>
      </c>
      <c r="AT832" s="39">
        <f>SUM(AK833:AK836)</f>
        <v>0</v>
      </c>
      <c r="AU832" s="39">
        <f>SUM(AL833:AL836)</f>
        <v>0</v>
      </c>
    </row>
    <row r="833" spans="1:76" x14ac:dyDescent="0.25">
      <c r="A833" s="1" t="s">
        <v>1526</v>
      </c>
      <c r="B833" s="2" t="s">
        <v>84</v>
      </c>
      <c r="C833" s="2" t="s">
        <v>1527</v>
      </c>
      <c r="D833" s="86" t="s">
        <v>1528</v>
      </c>
      <c r="E833" s="81"/>
      <c r="F833" s="2" t="s">
        <v>132</v>
      </c>
      <c r="G833" s="34">
        <v>1912</v>
      </c>
      <c r="H833" s="64">
        <v>0</v>
      </c>
      <c r="I833" s="34">
        <f>ROUND(G833*H833,2)</f>
        <v>0</v>
      </c>
      <c r="J833" s="65" t="s">
        <v>133</v>
      </c>
      <c r="K833" s="59"/>
      <c r="Z833" s="34">
        <f>ROUND(IF(AQ833="5",BJ833,0),2)</f>
        <v>0</v>
      </c>
      <c r="AB833" s="34">
        <f>ROUND(IF(AQ833="1",BH833,0),2)</f>
        <v>0</v>
      </c>
      <c r="AC833" s="34">
        <f>ROUND(IF(AQ833="1",BI833,0),2)</f>
        <v>0</v>
      </c>
      <c r="AD833" s="34">
        <f>ROUND(IF(AQ833="7",BH833,0),2)</f>
        <v>0</v>
      </c>
      <c r="AE833" s="34">
        <f>ROUND(IF(AQ833="7",BI833,0),2)</f>
        <v>0</v>
      </c>
      <c r="AF833" s="34">
        <f>ROUND(IF(AQ833="2",BH833,0),2)</f>
        <v>0</v>
      </c>
      <c r="AG833" s="34">
        <f>ROUND(IF(AQ833="2",BI833,0),2)</f>
        <v>0</v>
      </c>
      <c r="AH833" s="34">
        <f>ROUND(IF(AQ833="0",BJ833,0),2)</f>
        <v>0</v>
      </c>
      <c r="AI833" s="46" t="s">
        <v>84</v>
      </c>
      <c r="AJ833" s="34">
        <f>IF(AN833=0,I833,0)</f>
        <v>0</v>
      </c>
      <c r="AK833" s="34">
        <f>IF(AN833=12,I833,0)</f>
        <v>0</v>
      </c>
      <c r="AL833" s="34">
        <f>IF(AN833=21,I833,0)</f>
        <v>0</v>
      </c>
      <c r="AN833" s="34">
        <v>21</v>
      </c>
      <c r="AO833" s="34">
        <f>H833*0.09162648</f>
        <v>0</v>
      </c>
      <c r="AP833" s="34">
        <f>H833*(1-0.09162648)</f>
        <v>0</v>
      </c>
      <c r="AQ833" s="65" t="s">
        <v>175</v>
      </c>
      <c r="AV833" s="34">
        <f>ROUND(AW833+AX833,2)</f>
        <v>0</v>
      </c>
      <c r="AW833" s="34">
        <f>ROUND(G833*AO833,2)</f>
        <v>0</v>
      </c>
      <c r="AX833" s="34">
        <f>ROUND(G833*AP833,2)</f>
        <v>0</v>
      </c>
      <c r="AY833" s="65" t="s">
        <v>1529</v>
      </c>
      <c r="AZ833" s="65" t="s">
        <v>1505</v>
      </c>
      <c r="BA833" s="46" t="s">
        <v>136</v>
      </c>
      <c r="BC833" s="34">
        <f>AW833+AX833</f>
        <v>0</v>
      </c>
      <c r="BD833" s="34">
        <f>H833/(100-BE833)*100</f>
        <v>0</v>
      </c>
      <c r="BE833" s="34">
        <v>0</v>
      </c>
      <c r="BF833" s="34">
        <f>833</f>
        <v>833</v>
      </c>
      <c r="BH833" s="34">
        <f>G833*AO833</f>
        <v>0</v>
      </c>
      <c r="BI833" s="34">
        <f>G833*AP833</f>
        <v>0</v>
      </c>
      <c r="BJ833" s="34">
        <f>G833*H833</f>
        <v>0</v>
      </c>
      <c r="BK833" s="34"/>
      <c r="BL833" s="34">
        <v>784</v>
      </c>
      <c r="BW833" s="34">
        <v>21</v>
      </c>
      <c r="BX833" s="3" t="s">
        <v>1528</v>
      </c>
    </row>
    <row r="834" spans="1:76" x14ac:dyDescent="0.25">
      <c r="A834" s="66"/>
      <c r="D834" s="67" t="s">
        <v>1530</v>
      </c>
      <c r="E834" s="67" t="s">
        <v>4</v>
      </c>
      <c r="G834" s="68">
        <v>1900</v>
      </c>
      <c r="K834" s="59"/>
    </row>
    <row r="835" spans="1:76" x14ac:dyDescent="0.25">
      <c r="A835" s="66"/>
      <c r="D835" s="67" t="s">
        <v>138</v>
      </c>
      <c r="E835" s="67" t="s">
        <v>1531</v>
      </c>
      <c r="G835" s="68">
        <v>12</v>
      </c>
      <c r="K835" s="59"/>
    </row>
    <row r="836" spans="1:76" x14ac:dyDescent="0.25">
      <c r="A836" s="1" t="s">
        <v>1532</v>
      </c>
      <c r="B836" s="2" t="s">
        <v>84</v>
      </c>
      <c r="C836" s="2" t="s">
        <v>1533</v>
      </c>
      <c r="D836" s="86" t="s">
        <v>1534</v>
      </c>
      <c r="E836" s="81"/>
      <c r="F836" s="2" t="s">
        <v>132</v>
      </c>
      <c r="G836" s="34">
        <v>1912</v>
      </c>
      <c r="H836" s="64">
        <v>0</v>
      </c>
      <c r="I836" s="34">
        <f>ROUND(G836*H836,2)</f>
        <v>0</v>
      </c>
      <c r="J836" s="65" t="s">
        <v>133</v>
      </c>
      <c r="K836" s="59"/>
      <c r="Z836" s="34">
        <f>ROUND(IF(AQ836="5",BJ836,0),2)</f>
        <v>0</v>
      </c>
      <c r="AB836" s="34">
        <f>ROUND(IF(AQ836="1",BH836,0),2)</f>
        <v>0</v>
      </c>
      <c r="AC836" s="34">
        <f>ROUND(IF(AQ836="1",BI836,0),2)</f>
        <v>0</v>
      </c>
      <c r="AD836" s="34">
        <f>ROUND(IF(AQ836="7",BH836,0),2)</f>
        <v>0</v>
      </c>
      <c r="AE836" s="34">
        <f>ROUND(IF(AQ836="7",BI836,0),2)</f>
        <v>0</v>
      </c>
      <c r="AF836" s="34">
        <f>ROUND(IF(AQ836="2",BH836,0),2)</f>
        <v>0</v>
      </c>
      <c r="AG836" s="34">
        <f>ROUND(IF(AQ836="2",BI836,0),2)</f>
        <v>0</v>
      </c>
      <c r="AH836" s="34">
        <f>ROUND(IF(AQ836="0",BJ836,0),2)</f>
        <v>0</v>
      </c>
      <c r="AI836" s="46" t="s">
        <v>84</v>
      </c>
      <c r="AJ836" s="34">
        <f>IF(AN836=0,I836,0)</f>
        <v>0</v>
      </c>
      <c r="AK836" s="34">
        <f>IF(AN836=12,I836,0)</f>
        <v>0</v>
      </c>
      <c r="AL836" s="34">
        <f>IF(AN836=21,I836,0)</f>
        <v>0</v>
      </c>
      <c r="AN836" s="34">
        <v>21</v>
      </c>
      <c r="AO836" s="34">
        <f>H836*0.19154508</f>
        <v>0</v>
      </c>
      <c r="AP836" s="34">
        <f>H836*(1-0.19154508)</f>
        <v>0</v>
      </c>
      <c r="AQ836" s="65" t="s">
        <v>175</v>
      </c>
      <c r="AV836" s="34">
        <f>ROUND(AW836+AX836,2)</f>
        <v>0</v>
      </c>
      <c r="AW836" s="34">
        <f>ROUND(G836*AO836,2)</f>
        <v>0</v>
      </c>
      <c r="AX836" s="34">
        <f>ROUND(G836*AP836,2)</f>
        <v>0</v>
      </c>
      <c r="AY836" s="65" t="s">
        <v>1529</v>
      </c>
      <c r="AZ836" s="65" t="s">
        <v>1505</v>
      </c>
      <c r="BA836" s="46" t="s">
        <v>136</v>
      </c>
      <c r="BC836" s="34">
        <f>AW836+AX836</f>
        <v>0</v>
      </c>
      <c r="BD836" s="34">
        <f>H836/(100-BE836)*100</f>
        <v>0</v>
      </c>
      <c r="BE836" s="34">
        <v>0</v>
      </c>
      <c r="BF836" s="34">
        <f>836</f>
        <v>836</v>
      </c>
      <c r="BH836" s="34">
        <f>G836*AO836</f>
        <v>0</v>
      </c>
      <c r="BI836" s="34">
        <f>G836*AP836</f>
        <v>0</v>
      </c>
      <c r="BJ836" s="34">
        <f>G836*H836</f>
        <v>0</v>
      </c>
      <c r="BK836" s="34"/>
      <c r="BL836" s="34">
        <v>784</v>
      </c>
      <c r="BW836" s="34">
        <v>21</v>
      </c>
      <c r="BX836" s="3" t="s">
        <v>1534</v>
      </c>
    </row>
    <row r="837" spans="1:76" x14ac:dyDescent="0.25">
      <c r="A837" s="66"/>
      <c r="D837" s="67" t="s">
        <v>1530</v>
      </c>
      <c r="E837" s="67" t="s">
        <v>4</v>
      </c>
      <c r="G837" s="68">
        <v>1900</v>
      </c>
      <c r="K837" s="59"/>
    </row>
    <row r="838" spans="1:76" x14ac:dyDescent="0.25">
      <c r="A838" s="66"/>
      <c r="D838" s="67" t="s">
        <v>138</v>
      </c>
      <c r="E838" s="67" t="s">
        <v>1531</v>
      </c>
      <c r="G838" s="68">
        <v>12</v>
      </c>
      <c r="K838" s="59"/>
    </row>
    <row r="839" spans="1:76" x14ac:dyDescent="0.25">
      <c r="A839" s="60" t="s">
        <v>4</v>
      </c>
      <c r="B839" s="61" t="s">
        <v>84</v>
      </c>
      <c r="C839" s="61" t="s">
        <v>1535</v>
      </c>
      <c r="D839" s="167" t="s">
        <v>1536</v>
      </c>
      <c r="E839" s="168"/>
      <c r="F839" s="62" t="s">
        <v>79</v>
      </c>
      <c r="G839" s="62" t="s">
        <v>79</v>
      </c>
      <c r="H839" s="63" t="s">
        <v>79</v>
      </c>
      <c r="I839" s="39">
        <f>SUM(I840:I842)</f>
        <v>0</v>
      </c>
      <c r="J839" s="46" t="s">
        <v>4</v>
      </c>
      <c r="K839" s="59"/>
      <c r="AI839" s="46" t="s">
        <v>84</v>
      </c>
      <c r="AS839" s="39">
        <f>SUM(AJ840:AJ842)</f>
        <v>0</v>
      </c>
      <c r="AT839" s="39">
        <f>SUM(AK840:AK842)</f>
        <v>0</v>
      </c>
      <c r="AU839" s="39">
        <f>SUM(AL840:AL842)</f>
        <v>0</v>
      </c>
    </row>
    <row r="840" spans="1:76" x14ac:dyDescent="0.25">
      <c r="A840" s="1" t="s">
        <v>1537</v>
      </c>
      <c r="B840" s="2" t="s">
        <v>84</v>
      </c>
      <c r="C840" s="2" t="s">
        <v>1538</v>
      </c>
      <c r="D840" s="86" t="s">
        <v>1539</v>
      </c>
      <c r="E840" s="81"/>
      <c r="F840" s="2" t="s">
        <v>132</v>
      </c>
      <c r="G840" s="34">
        <v>11.5</v>
      </c>
      <c r="H840" s="64">
        <v>0</v>
      </c>
      <c r="I840" s="34">
        <f>ROUND(G840*H840,2)</f>
        <v>0</v>
      </c>
      <c r="J840" s="65" t="s">
        <v>133</v>
      </c>
      <c r="K840" s="59"/>
      <c r="Z840" s="34">
        <f>ROUND(IF(AQ840="5",BJ840,0),2)</f>
        <v>0</v>
      </c>
      <c r="AB840" s="34">
        <f>ROUND(IF(AQ840="1",BH840,0),2)</f>
        <v>0</v>
      </c>
      <c r="AC840" s="34">
        <f>ROUND(IF(AQ840="1",BI840,0),2)</f>
        <v>0</v>
      </c>
      <c r="AD840" s="34">
        <f>ROUND(IF(AQ840="7",BH840,0),2)</f>
        <v>0</v>
      </c>
      <c r="AE840" s="34">
        <f>ROUND(IF(AQ840="7",BI840,0),2)</f>
        <v>0</v>
      </c>
      <c r="AF840" s="34">
        <f>ROUND(IF(AQ840="2",BH840,0),2)</f>
        <v>0</v>
      </c>
      <c r="AG840" s="34">
        <f>ROUND(IF(AQ840="2",BI840,0),2)</f>
        <v>0</v>
      </c>
      <c r="AH840" s="34">
        <f>ROUND(IF(AQ840="0",BJ840,0),2)</f>
        <v>0</v>
      </c>
      <c r="AI840" s="46" t="s">
        <v>84</v>
      </c>
      <c r="AJ840" s="34">
        <f>IF(AN840=0,I840,0)</f>
        <v>0</v>
      </c>
      <c r="AK840" s="34">
        <f>IF(AN840=12,I840,0)</f>
        <v>0</v>
      </c>
      <c r="AL840" s="34">
        <f>IF(AN840=21,I840,0)</f>
        <v>0</v>
      </c>
      <c r="AN840" s="34">
        <v>21</v>
      </c>
      <c r="AO840" s="34">
        <f>H840*0.78018617</f>
        <v>0</v>
      </c>
      <c r="AP840" s="34">
        <f>H840*(1-0.78018617)</f>
        <v>0</v>
      </c>
      <c r="AQ840" s="65" t="s">
        <v>175</v>
      </c>
      <c r="AV840" s="34">
        <f>ROUND(AW840+AX840,2)</f>
        <v>0</v>
      </c>
      <c r="AW840" s="34">
        <f>ROUND(G840*AO840,2)</f>
        <v>0</v>
      </c>
      <c r="AX840" s="34">
        <f>ROUND(G840*AP840,2)</f>
        <v>0</v>
      </c>
      <c r="AY840" s="65" t="s">
        <v>1540</v>
      </c>
      <c r="AZ840" s="65" t="s">
        <v>1505</v>
      </c>
      <c r="BA840" s="46" t="s">
        <v>136</v>
      </c>
      <c r="BC840" s="34">
        <f>AW840+AX840</f>
        <v>0</v>
      </c>
      <c r="BD840" s="34">
        <f>H840/(100-BE840)*100</f>
        <v>0</v>
      </c>
      <c r="BE840" s="34">
        <v>0</v>
      </c>
      <c r="BF840" s="34">
        <f>840</f>
        <v>840</v>
      </c>
      <c r="BH840" s="34">
        <f>G840*AO840</f>
        <v>0</v>
      </c>
      <c r="BI840" s="34">
        <f>G840*AP840</f>
        <v>0</v>
      </c>
      <c r="BJ840" s="34">
        <f>G840*H840</f>
        <v>0</v>
      </c>
      <c r="BK840" s="34"/>
      <c r="BL840" s="34">
        <v>787</v>
      </c>
      <c r="BW840" s="34">
        <v>21</v>
      </c>
      <c r="BX840" s="3" t="s">
        <v>1539</v>
      </c>
    </row>
    <row r="841" spans="1:76" x14ac:dyDescent="0.25">
      <c r="A841" s="66"/>
      <c r="D841" s="67" t="s">
        <v>473</v>
      </c>
      <c r="E841" s="67" t="s">
        <v>1541</v>
      </c>
      <c r="G841" s="68">
        <v>11.5</v>
      </c>
      <c r="K841" s="59"/>
    </row>
    <row r="842" spans="1:76" x14ac:dyDescent="0.25">
      <c r="A842" s="1" t="s">
        <v>1542</v>
      </c>
      <c r="B842" s="2" t="s">
        <v>84</v>
      </c>
      <c r="C842" s="2" t="s">
        <v>1543</v>
      </c>
      <c r="D842" s="86" t="s">
        <v>1544</v>
      </c>
      <c r="E842" s="81"/>
      <c r="F842" s="2" t="s">
        <v>239</v>
      </c>
      <c r="G842" s="34">
        <v>21</v>
      </c>
      <c r="H842" s="64">
        <v>0</v>
      </c>
      <c r="I842" s="34">
        <f>ROUND(G842*H842,2)</f>
        <v>0</v>
      </c>
      <c r="J842" s="65" t="s">
        <v>133</v>
      </c>
      <c r="K842" s="59"/>
      <c r="Z842" s="34">
        <f>ROUND(IF(AQ842="5",BJ842,0),2)</f>
        <v>0</v>
      </c>
      <c r="AB842" s="34">
        <f>ROUND(IF(AQ842="1",BH842,0),2)</f>
        <v>0</v>
      </c>
      <c r="AC842" s="34">
        <f>ROUND(IF(AQ842="1",BI842,0),2)</f>
        <v>0</v>
      </c>
      <c r="AD842" s="34">
        <f>ROUND(IF(AQ842="7",BH842,0),2)</f>
        <v>0</v>
      </c>
      <c r="AE842" s="34">
        <f>ROUND(IF(AQ842="7",BI842,0),2)</f>
        <v>0</v>
      </c>
      <c r="AF842" s="34">
        <f>ROUND(IF(AQ842="2",BH842,0),2)</f>
        <v>0</v>
      </c>
      <c r="AG842" s="34">
        <f>ROUND(IF(AQ842="2",BI842,0),2)</f>
        <v>0</v>
      </c>
      <c r="AH842" s="34">
        <f>ROUND(IF(AQ842="0",BJ842,0),2)</f>
        <v>0</v>
      </c>
      <c r="AI842" s="46" t="s">
        <v>84</v>
      </c>
      <c r="AJ842" s="34">
        <f>IF(AN842=0,I842,0)</f>
        <v>0</v>
      </c>
      <c r="AK842" s="34">
        <f>IF(AN842=12,I842,0)</f>
        <v>0</v>
      </c>
      <c r="AL842" s="34">
        <f>IF(AN842=21,I842,0)</f>
        <v>0</v>
      </c>
      <c r="AN842" s="34">
        <v>21</v>
      </c>
      <c r="AO842" s="34">
        <f>H842*0.597616034</f>
        <v>0</v>
      </c>
      <c r="AP842" s="34">
        <f>H842*(1-0.597616034)</f>
        <v>0</v>
      </c>
      <c r="AQ842" s="65" t="s">
        <v>175</v>
      </c>
      <c r="AV842" s="34">
        <f>ROUND(AW842+AX842,2)</f>
        <v>0</v>
      </c>
      <c r="AW842" s="34">
        <f>ROUND(G842*AO842,2)</f>
        <v>0</v>
      </c>
      <c r="AX842" s="34">
        <f>ROUND(G842*AP842,2)</f>
        <v>0</v>
      </c>
      <c r="AY842" s="65" t="s">
        <v>1540</v>
      </c>
      <c r="AZ842" s="65" t="s">
        <v>1505</v>
      </c>
      <c r="BA842" s="46" t="s">
        <v>136</v>
      </c>
      <c r="BC842" s="34">
        <f>AW842+AX842</f>
        <v>0</v>
      </c>
      <c r="BD842" s="34">
        <f>H842/(100-BE842)*100</f>
        <v>0</v>
      </c>
      <c r="BE842" s="34">
        <v>0</v>
      </c>
      <c r="BF842" s="34">
        <f>842</f>
        <v>842</v>
      </c>
      <c r="BH842" s="34">
        <f>G842*AO842</f>
        <v>0</v>
      </c>
      <c r="BI842" s="34">
        <f>G842*AP842</f>
        <v>0</v>
      </c>
      <c r="BJ842" s="34">
        <f>G842*H842</f>
        <v>0</v>
      </c>
      <c r="BK842" s="34"/>
      <c r="BL842" s="34">
        <v>787</v>
      </c>
      <c r="BW842" s="34">
        <v>21</v>
      </c>
      <c r="BX842" s="3" t="s">
        <v>1544</v>
      </c>
    </row>
    <row r="843" spans="1:76" x14ac:dyDescent="0.25">
      <c r="A843" s="66"/>
      <c r="D843" s="67" t="s">
        <v>1545</v>
      </c>
      <c r="E843" s="67" t="s">
        <v>4</v>
      </c>
      <c r="G843" s="68">
        <v>21</v>
      </c>
      <c r="K843" s="59"/>
    </row>
    <row r="844" spans="1:76" x14ac:dyDescent="0.25">
      <c r="A844" s="60" t="s">
        <v>4</v>
      </c>
      <c r="B844" s="61" t="s">
        <v>84</v>
      </c>
      <c r="C844" s="61" t="s">
        <v>778</v>
      </c>
      <c r="D844" s="167" t="s">
        <v>1546</v>
      </c>
      <c r="E844" s="168"/>
      <c r="F844" s="62" t="s">
        <v>79</v>
      </c>
      <c r="G844" s="62" t="s">
        <v>79</v>
      </c>
      <c r="H844" s="63" t="s">
        <v>79</v>
      </c>
      <c r="I844" s="39">
        <f>SUM(I845:I848)</f>
        <v>0</v>
      </c>
      <c r="J844" s="46" t="s">
        <v>4</v>
      </c>
      <c r="K844" s="59"/>
      <c r="AI844" s="46" t="s">
        <v>84</v>
      </c>
      <c r="AS844" s="39">
        <f>SUM(AJ845:AJ848)</f>
        <v>0</v>
      </c>
      <c r="AT844" s="39">
        <f>SUM(AK845:AK848)</f>
        <v>0</v>
      </c>
      <c r="AU844" s="39">
        <f>SUM(AL845:AL848)</f>
        <v>0</v>
      </c>
    </row>
    <row r="845" spans="1:76" x14ac:dyDescent="0.25">
      <c r="A845" s="1" t="s">
        <v>1433</v>
      </c>
      <c r="B845" s="2" t="s">
        <v>84</v>
      </c>
      <c r="C845" s="2" t="s">
        <v>1547</v>
      </c>
      <c r="D845" s="86" t="s">
        <v>1548</v>
      </c>
      <c r="E845" s="81"/>
      <c r="F845" s="2" t="s">
        <v>239</v>
      </c>
      <c r="G845" s="34">
        <v>19.8</v>
      </c>
      <c r="H845" s="64">
        <v>0</v>
      </c>
      <c r="I845" s="34">
        <f>ROUND(G845*H845,2)</f>
        <v>0</v>
      </c>
      <c r="J845" s="65" t="s">
        <v>133</v>
      </c>
      <c r="K845" s="59"/>
      <c r="Z845" s="34">
        <f>ROUND(IF(AQ845="5",BJ845,0),2)</f>
        <v>0</v>
      </c>
      <c r="AB845" s="34">
        <f>ROUND(IF(AQ845="1",BH845,0),2)</f>
        <v>0</v>
      </c>
      <c r="AC845" s="34">
        <f>ROUND(IF(AQ845="1",BI845,0),2)</f>
        <v>0</v>
      </c>
      <c r="AD845" s="34">
        <f>ROUND(IF(AQ845="7",BH845,0),2)</f>
        <v>0</v>
      </c>
      <c r="AE845" s="34">
        <f>ROUND(IF(AQ845="7",BI845,0),2)</f>
        <v>0</v>
      </c>
      <c r="AF845" s="34">
        <f>ROUND(IF(AQ845="2",BH845,0),2)</f>
        <v>0</v>
      </c>
      <c r="AG845" s="34">
        <f>ROUND(IF(AQ845="2",BI845,0),2)</f>
        <v>0</v>
      </c>
      <c r="AH845" s="34">
        <f>ROUND(IF(AQ845="0",BJ845,0),2)</f>
        <v>0</v>
      </c>
      <c r="AI845" s="46" t="s">
        <v>84</v>
      </c>
      <c r="AJ845" s="34">
        <f>IF(AN845=0,I845,0)</f>
        <v>0</v>
      </c>
      <c r="AK845" s="34">
        <f>IF(AN845=12,I845,0)</f>
        <v>0</v>
      </c>
      <c r="AL845" s="34">
        <f>IF(AN845=21,I845,0)</f>
        <v>0</v>
      </c>
      <c r="AN845" s="34">
        <v>21</v>
      </c>
      <c r="AO845" s="34">
        <f>H845*0.764300144</f>
        <v>0</v>
      </c>
      <c r="AP845" s="34">
        <f>H845*(1-0.764300144)</f>
        <v>0</v>
      </c>
      <c r="AQ845" s="65" t="s">
        <v>129</v>
      </c>
      <c r="AV845" s="34">
        <f>ROUND(AW845+AX845,2)</f>
        <v>0</v>
      </c>
      <c r="AW845" s="34">
        <f>ROUND(G845*AO845,2)</f>
        <v>0</v>
      </c>
      <c r="AX845" s="34">
        <f>ROUND(G845*AP845,2)</f>
        <v>0</v>
      </c>
      <c r="AY845" s="65" t="s">
        <v>1549</v>
      </c>
      <c r="AZ845" s="65" t="s">
        <v>1550</v>
      </c>
      <c r="BA845" s="46" t="s">
        <v>136</v>
      </c>
      <c r="BC845" s="34">
        <f>AW845+AX845</f>
        <v>0</v>
      </c>
      <c r="BD845" s="34">
        <f>H845/(100-BE845)*100</f>
        <v>0</v>
      </c>
      <c r="BE845" s="34">
        <v>0</v>
      </c>
      <c r="BF845" s="34">
        <f>845</f>
        <v>845</v>
      </c>
      <c r="BH845" s="34">
        <f>G845*AO845</f>
        <v>0</v>
      </c>
      <c r="BI845" s="34">
        <f>G845*AP845</f>
        <v>0</v>
      </c>
      <c r="BJ845" s="34">
        <f>G845*H845</f>
        <v>0</v>
      </c>
      <c r="BK845" s="34"/>
      <c r="BL845" s="34">
        <v>91</v>
      </c>
      <c r="BW845" s="34">
        <v>21</v>
      </c>
      <c r="BX845" s="3" t="s">
        <v>1548</v>
      </c>
    </row>
    <row r="846" spans="1:76" ht="13.5" customHeight="1" x14ac:dyDescent="0.25">
      <c r="A846" s="66"/>
      <c r="C846" s="69" t="s">
        <v>204</v>
      </c>
      <c r="D846" s="169" t="s">
        <v>1551</v>
      </c>
      <c r="E846" s="170"/>
      <c r="F846" s="170"/>
      <c r="G846" s="170"/>
      <c r="H846" s="171"/>
      <c r="I846" s="170"/>
      <c r="J846" s="170"/>
      <c r="K846" s="172"/>
    </row>
    <row r="847" spans="1:76" x14ac:dyDescent="0.25">
      <c r="A847" s="66"/>
      <c r="D847" s="67" t="s">
        <v>1552</v>
      </c>
      <c r="E847" s="67" t="s">
        <v>4</v>
      </c>
      <c r="G847" s="68">
        <v>19.8</v>
      </c>
      <c r="K847" s="59"/>
    </row>
    <row r="848" spans="1:76" x14ac:dyDescent="0.25">
      <c r="A848" s="1" t="s">
        <v>1553</v>
      </c>
      <c r="B848" s="2" t="s">
        <v>84</v>
      </c>
      <c r="C848" s="2" t="s">
        <v>1554</v>
      </c>
      <c r="D848" s="86" t="s">
        <v>1555</v>
      </c>
      <c r="E848" s="81"/>
      <c r="F848" s="2" t="s">
        <v>258</v>
      </c>
      <c r="G848" s="34">
        <v>1</v>
      </c>
      <c r="H848" s="64">
        <v>0</v>
      </c>
      <c r="I848" s="34">
        <f>ROUND(G848*H848,2)</f>
        <v>0</v>
      </c>
      <c r="J848" s="65" t="s">
        <v>4</v>
      </c>
      <c r="K848" s="59"/>
      <c r="Z848" s="34">
        <f>ROUND(IF(AQ848="5",BJ848,0),2)</f>
        <v>0</v>
      </c>
      <c r="AB848" s="34">
        <f>ROUND(IF(AQ848="1",BH848,0),2)</f>
        <v>0</v>
      </c>
      <c r="AC848" s="34">
        <f>ROUND(IF(AQ848="1",BI848,0),2)</f>
        <v>0</v>
      </c>
      <c r="AD848" s="34">
        <f>ROUND(IF(AQ848="7",BH848,0),2)</f>
        <v>0</v>
      </c>
      <c r="AE848" s="34">
        <f>ROUND(IF(AQ848="7",BI848,0),2)</f>
        <v>0</v>
      </c>
      <c r="AF848" s="34">
        <f>ROUND(IF(AQ848="2",BH848,0),2)</f>
        <v>0</v>
      </c>
      <c r="AG848" s="34">
        <f>ROUND(IF(AQ848="2",BI848,0),2)</f>
        <v>0</v>
      </c>
      <c r="AH848" s="34">
        <f>ROUND(IF(AQ848="0",BJ848,0),2)</f>
        <v>0</v>
      </c>
      <c r="AI848" s="46" t="s">
        <v>84</v>
      </c>
      <c r="AJ848" s="34">
        <f>IF(AN848=0,I848,0)</f>
        <v>0</v>
      </c>
      <c r="AK848" s="34">
        <f>IF(AN848=12,I848,0)</f>
        <v>0</v>
      </c>
      <c r="AL848" s="34">
        <f>IF(AN848=21,I848,0)</f>
        <v>0</v>
      </c>
      <c r="AN848" s="34">
        <v>21</v>
      </c>
      <c r="AO848" s="34">
        <f>H848*0</f>
        <v>0</v>
      </c>
      <c r="AP848" s="34">
        <f>H848*(1-0)</f>
        <v>0</v>
      </c>
      <c r="AQ848" s="65" t="s">
        <v>140</v>
      </c>
      <c r="AV848" s="34">
        <f>ROUND(AW848+AX848,2)</f>
        <v>0</v>
      </c>
      <c r="AW848" s="34">
        <f>ROUND(G848*AO848,2)</f>
        <v>0</v>
      </c>
      <c r="AX848" s="34">
        <f>ROUND(G848*AP848,2)</f>
        <v>0</v>
      </c>
      <c r="AY848" s="65" t="s">
        <v>1549</v>
      </c>
      <c r="AZ848" s="65" t="s">
        <v>1550</v>
      </c>
      <c r="BA848" s="46" t="s">
        <v>136</v>
      </c>
      <c r="BC848" s="34">
        <f>AW848+AX848</f>
        <v>0</v>
      </c>
      <c r="BD848" s="34">
        <f>H848/(100-BE848)*100</f>
        <v>0</v>
      </c>
      <c r="BE848" s="34">
        <v>0</v>
      </c>
      <c r="BF848" s="34">
        <f>848</f>
        <v>848</v>
      </c>
      <c r="BH848" s="34">
        <f>G848*AO848</f>
        <v>0</v>
      </c>
      <c r="BI848" s="34">
        <f>G848*AP848</f>
        <v>0</v>
      </c>
      <c r="BJ848" s="34">
        <f>G848*H848</f>
        <v>0</v>
      </c>
      <c r="BK848" s="34"/>
      <c r="BL848" s="34">
        <v>91</v>
      </c>
      <c r="BW848" s="34">
        <v>21</v>
      </c>
      <c r="BX848" s="3" t="s">
        <v>1555</v>
      </c>
    </row>
    <row r="849" spans="1:76" x14ac:dyDescent="0.25">
      <c r="A849" s="66"/>
      <c r="D849" s="67" t="s">
        <v>129</v>
      </c>
      <c r="E849" s="67" t="s">
        <v>4</v>
      </c>
      <c r="G849" s="68">
        <v>1</v>
      </c>
      <c r="K849" s="59"/>
    </row>
    <row r="850" spans="1:76" x14ac:dyDescent="0.25">
      <c r="A850" s="60" t="s">
        <v>4</v>
      </c>
      <c r="B850" s="61" t="s">
        <v>84</v>
      </c>
      <c r="C850" s="61" t="s">
        <v>798</v>
      </c>
      <c r="D850" s="167" t="s">
        <v>1556</v>
      </c>
      <c r="E850" s="168"/>
      <c r="F850" s="62" t="s">
        <v>79</v>
      </c>
      <c r="G850" s="62" t="s">
        <v>79</v>
      </c>
      <c r="H850" s="63" t="s">
        <v>79</v>
      </c>
      <c r="I850" s="39">
        <f>SUM(I851:I858)</f>
        <v>0</v>
      </c>
      <c r="J850" s="46" t="s">
        <v>4</v>
      </c>
      <c r="K850" s="59"/>
      <c r="AI850" s="46" t="s">
        <v>84</v>
      </c>
      <c r="AS850" s="39">
        <f>SUM(AJ851:AJ858)</f>
        <v>0</v>
      </c>
      <c r="AT850" s="39">
        <f>SUM(AK851:AK858)</f>
        <v>0</v>
      </c>
      <c r="AU850" s="39">
        <f>SUM(AL851:AL858)</f>
        <v>0</v>
      </c>
    </row>
    <row r="851" spans="1:76" x14ac:dyDescent="0.25">
      <c r="A851" s="1" t="s">
        <v>1557</v>
      </c>
      <c r="B851" s="2" t="s">
        <v>84</v>
      </c>
      <c r="C851" s="2" t="s">
        <v>1558</v>
      </c>
      <c r="D851" s="86" t="s">
        <v>1559</v>
      </c>
      <c r="E851" s="81"/>
      <c r="F851" s="2" t="s">
        <v>132</v>
      </c>
      <c r="G851" s="34">
        <v>150</v>
      </c>
      <c r="H851" s="64">
        <v>0</v>
      </c>
      <c r="I851" s="34">
        <f>ROUND(G851*H851,2)</f>
        <v>0</v>
      </c>
      <c r="J851" s="65" t="s">
        <v>133</v>
      </c>
      <c r="K851" s="59"/>
      <c r="Z851" s="34">
        <f>ROUND(IF(AQ851="5",BJ851,0),2)</f>
        <v>0</v>
      </c>
      <c r="AB851" s="34">
        <f>ROUND(IF(AQ851="1",BH851,0),2)</f>
        <v>0</v>
      </c>
      <c r="AC851" s="34">
        <f>ROUND(IF(AQ851="1",BI851,0),2)</f>
        <v>0</v>
      </c>
      <c r="AD851" s="34">
        <f>ROUND(IF(AQ851="7",BH851,0),2)</f>
        <v>0</v>
      </c>
      <c r="AE851" s="34">
        <f>ROUND(IF(AQ851="7",BI851,0),2)</f>
        <v>0</v>
      </c>
      <c r="AF851" s="34">
        <f>ROUND(IF(AQ851="2",BH851,0),2)</f>
        <v>0</v>
      </c>
      <c r="AG851" s="34">
        <f>ROUND(IF(AQ851="2",BI851,0),2)</f>
        <v>0</v>
      </c>
      <c r="AH851" s="34">
        <f>ROUND(IF(AQ851="0",BJ851,0),2)</f>
        <v>0</v>
      </c>
      <c r="AI851" s="46" t="s">
        <v>84</v>
      </c>
      <c r="AJ851" s="34">
        <f>IF(AN851=0,I851,0)</f>
        <v>0</v>
      </c>
      <c r="AK851" s="34">
        <f>IF(AN851=12,I851,0)</f>
        <v>0</v>
      </c>
      <c r="AL851" s="34">
        <f>IF(AN851=21,I851,0)</f>
        <v>0</v>
      </c>
      <c r="AN851" s="34">
        <v>21</v>
      </c>
      <c r="AO851" s="34">
        <f>H851*0.357031494</f>
        <v>0</v>
      </c>
      <c r="AP851" s="34">
        <f>H851*(1-0.357031494)</f>
        <v>0</v>
      </c>
      <c r="AQ851" s="65" t="s">
        <v>129</v>
      </c>
      <c r="AV851" s="34">
        <f>ROUND(AW851+AX851,2)</f>
        <v>0</v>
      </c>
      <c r="AW851" s="34">
        <f>ROUND(G851*AO851,2)</f>
        <v>0</v>
      </c>
      <c r="AX851" s="34">
        <f>ROUND(G851*AP851,2)</f>
        <v>0</v>
      </c>
      <c r="AY851" s="65" t="s">
        <v>1560</v>
      </c>
      <c r="AZ851" s="65" t="s">
        <v>1550</v>
      </c>
      <c r="BA851" s="46" t="s">
        <v>136</v>
      </c>
      <c r="BC851" s="34">
        <f>AW851+AX851</f>
        <v>0</v>
      </c>
      <c r="BD851" s="34">
        <f>H851/(100-BE851)*100</f>
        <v>0</v>
      </c>
      <c r="BE851" s="34">
        <v>0</v>
      </c>
      <c r="BF851" s="34">
        <f>851</f>
        <v>851</v>
      </c>
      <c r="BH851" s="34">
        <f>G851*AO851</f>
        <v>0</v>
      </c>
      <c r="BI851" s="34">
        <f>G851*AP851</f>
        <v>0</v>
      </c>
      <c r="BJ851" s="34">
        <f>G851*H851</f>
        <v>0</v>
      </c>
      <c r="BK851" s="34"/>
      <c r="BL851" s="34">
        <v>94</v>
      </c>
      <c r="BW851" s="34">
        <v>21</v>
      </c>
      <c r="BX851" s="3" t="s">
        <v>1559</v>
      </c>
    </row>
    <row r="852" spans="1:76" x14ac:dyDescent="0.25">
      <c r="A852" s="66"/>
      <c r="D852" s="67" t="s">
        <v>503</v>
      </c>
      <c r="E852" s="67" t="s">
        <v>1561</v>
      </c>
      <c r="G852" s="68">
        <v>50</v>
      </c>
      <c r="K852" s="59"/>
    </row>
    <row r="853" spans="1:76" x14ac:dyDescent="0.25">
      <c r="A853" s="66"/>
      <c r="D853" s="67" t="s">
        <v>842</v>
      </c>
      <c r="E853" s="67" t="s">
        <v>4</v>
      </c>
      <c r="G853" s="68">
        <v>100</v>
      </c>
      <c r="K853" s="59"/>
    </row>
    <row r="854" spans="1:76" x14ac:dyDescent="0.25">
      <c r="A854" s="1" t="s">
        <v>1562</v>
      </c>
      <c r="B854" s="2" t="s">
        <v>84</v>
      </c>
      <c r="C854" s="2" t="s">
        <v>1563</v>
      </c>
      <c r="D854" s="86" t="s">
        <v>1564</v>
      </c>
      <c r="E854" s="81"/>
      <c r="F854" s="2" t="s">
        <v>132</v>
      </c>
      <c r="G854" s="34">
        <v>280</v>
      </c>
      <c r="H854" s="64">
        <v>0</v>
      </c>
      <c r="I854" s="34">
        <f>ROUND(G854*H854,2)</f>
        <v>0</v>
      </c>
      <c r="J854" s="65" t="s">
        <v>133</v>
      </c>
      <c r="K854" s="59"/>
      <c r="Z854" s="34">
        <f>ROUND(IF(AQ854="5",BJ854,0),2)</f>
        <v>0</v>
      </c>
      <c r="AB854" s="34">
        <f>ROUND(IF(AQ854="1",BH854,0),2)</f>
        <v>0</v>
      </c>
      <c r="AC854" s="34">
        <f>ROUND(IF(AQ854="1",BI854,0),2)</f>
        <v>0</v>
      </c>
      <c r="AD854" s="34">
        <f>ROUND(IF(AQ854="7",BH854,0),2)</f>
        <v>0</v>
      </c>
      <c r="AE854" s="34">
        <f>ROUND(IF(AQ854="7",BI854,0),2)</f>
        <v>0</v>
      </c>
      <c r="AF854" s="34">
        <f>ROUND(IF(AQ854="2",BH854,0),2)</f>
        <v>0</v>
      </c>
      <c r="AG854" s="34">
        <f>ROUND(IF(AQ854="2",BI854,0),2)</f>
        <v>0</v>
      </c>
      <c r="AH854" s="34">
        <f>ROUND(IF(AQ854="0",BJ854,0),2)</f>
        <v>0</v>
      </c>
      <c r="AI854" s="46" t="s">
        <v>84</v>
      </c>
      <c r="AJ854" s="34">
        <f>IF(AN854=0,I854,0)</f>
        <v>0</v>
      </c>
      <c r="AK854" s="34">
        <f>IF(AN854=12,I854,0)</f>
        <v>0</v>
      </c>
      <c r="AL854" s="34">
        <f>IF(AN854=21,I854,0)</f>
        <v>0</v>
      </c>
      <c r="AN854" s="34">
        <v>21</v>
      </c>
      <c r="AO854" s="34">
        <f>H854*0.000426136</f>
        <v>0</v>
      </c>
      <c r="AP854" s="34">
        <f>H854*(1-0.000426136)</f>
        <v>0</v>
      </c>
      <c r="AQ854" s="65" t="s">
        <v>129</v>
      </c>
      <c r="AV854" s="34">
        <f>ROUND(AW854+AX854,2)</f>
        <v>0</v>
      </c>
      <c r="AW854" s="34">
        <f>ROUND(G854*AO854,2)</f>
        <v>0</v>
      </c>
      <c r="AX854" s="34">
        <f>ROUND(G854*AP854,2)</f>
        <v>0</v>
      </c>
      <c r="AY854" s="65" t="s">
        <v>1560</v>
      </c>
      <c r="AZ854" s="65" t="s">
        <v>1550</v>
      </c>
      <c r="BA854" s="46" t="s">
        <v>136</v>
      </c>
      <c r="BC854" s="34">
        <f>AW854+AX854</f>
        <v>0</v>
      </c>
      <c r="BD854" s="34">
        <f>H854/(100-BE854)*100</f>
        <v>0</v>
      </c>
      <c r="BE854" s="34">
        <v>0</v>
      </c>
      <c r="BF854" s="34">
        <f>854</f>
        <v>854</v>
      </c>
      <c r="BH854" s="34">
        <f>G854*AO854</f>
        <v>0</v>
      </c>
      <c r="BI854" s="34">
        <f>G854*AP854</f>
        <v>0</v>
      </c>
      <c r="BJ854" s="34">
        <f>G854*H854</f>
        <v>0</v>
      </c>
      <c r="BK854" s="34"/>
      <c r="BL854" s="34">
        <v>94</v>
      </c>
      <c r="BW854" s="34">
        <v>21</v>
      </c>
      <c r="BX854" s="3" t="s">
        <v>1564</v>
      </c>
    </row>
    <row r="855" spans="1:76" x14ac:dyDescent="0.25">
      <c r="A855" s="66"/>
      <c r="D855" s="67" t="s">
        <v>1565</v>
      </c>
      <c r="E855" s="67" t="s">
        <v>4</v>
      </c>
      <c r="G855" s="68">
        <v>280</v>
      </c>
      <c r="K855" s="59"/>
    </row>
    <row r="856" spans="1:76" x14ac:dyDescent="0.25">
      <c r="A856" s="1" t="s">
        <v>1566</v>
      </c>
      <c r="B856" s="2" t="s">
        <v>84</v>
      </c>
      <c r="C856" s="2" t="s">
        <v>1567</v>
      </c>
      <c r="D856" s="86" t="s">
        <v>1568</v>
      </c>
      <c r="E856" s="81"/>
      <c r="F856" s="2" t="s">
        <v>132</v>
      </c>
      <c r="G856" s="34">
        <v>280</v>
      </c>
      <c r="H856" s="64">
        <v>0</v>
      </c>
      <c r="I856" s="34">
        <f>ROUND(G856*H856,2)</f>
        <v>0</v>
      </c>
      <c r="J856" s="65" t="s">
        <v>133</v>
      </c>
      <c r="K856" s="59"/>
      <c r="Z856" s="34">
        <f>ROUND(IF(AQ856="5",BJ856,0),2)</f>
        <v>0</v>
      </c>
      <c r="AB856" s="34">
        <f>ROUND(IF(AQ856="1",BH856,0),2)</f>
        <v>0</v>
      </c>
      <c r="AC856" s="34">
        <f>ROUND(IF(AQ856="1",BI856,0),2)</f>
        <v>0</v>
      </c>
      <c r="AD856" s="34">
        <f>ROUND(IF(AQ856="7",BH856,0),2)</f>
        <v>0</v>
      </c>
      <c r="AE856" s="34">
        <f>ROUND(IF(AQ856="7",BI856,0),2)</f>
        <v>0</v>
      </c>
      <c r="AF856" s="34">
        <f>ROUND(IF(AQ856="2",BH856,0),2)</f>
        <v>0</v>
      </c>
      <c r="AG856" s="34">
        <f>ROUND(IF(AQ856="2",BI856,0),2)</f>
        <v>0</v>
      </c>
      <c r="AH856" s="34">
        <f>ROUND(IF(AQ856="0",BJ856,0),2)</f>
        <v>0</v>
      </c>
      <c r="AI856" s="46" t="s">
        <v>84</v>
      </c>
      <c r="AJ856" s="34">
        <f>IF(AN856=0,I856,0)</f>
        <v>0</v>
      </c>
      <c r="AK856" s="34">
        <f>IF(AN856=12,I856,0)</f>
        <v>0</v>
      </c>
      <c r="AL856" s="34">
        <f>IF(AN856=21,I856,0)</f>
        <v>0</v>
      </c>
      <c r="AN856" s="34">
        <v>21</v>
      </c>
      <c r="AO856" s="34">
        <f>H856*0</f>
        <v>0</v>
      </c>
      <c r="AP856" s="34">
        <f>H856*(1-0)</f>
        <v>0</v>
      </c>
      <c r="AQ856" s="65" t="s">
        <v>129</v>
      </c>
      <c r="AV856" s="34">
        <f>ROUND(AW856+AX856,2)</f>
        <v>0</v>
      </c>
      <c r="AW856" s="34">
        <f>ROUND(G856*AO856,2)</f>
        <v>0</v>
      </c>
      <c r="AX856" s="34">
        <f>ROUND(G856*AP856,2)</f>
        <v>0</v>
      </c>
      <c r="AY856" s="65" t="s">
        <v>1560</v>
      </c>
      <c r="AZ856" s="65" t="s">
        <v>1550</v>
      </c>
      <c r="BA856" s="46" t="s">
        <v>136</v>
      </c>
      <c r="BC856" s="34">
        <f>AW856+AX856</f>
        <v>0</v>
      </c>
      <c r="BD856" s="34">
        <f>H856/(100-BE856)*100</f>
        <v>0</v>
      </c>
      <c r="BE856" s="34">
        <v>0</v>
      </c>
      <c r="BF856" s="34">
        <f>856</f>
        <v>856</v>
      </c>
      <c r="BH856" s="34">
        <f>G856*AO856</f>
        <v>0</v>
      </c>
      <c r="BI856" s="34">
        <f>G856*AP856</f>
        <v>0</v>
      </c>
      <c r="BJ856" s="34">
        <f>G856*H856</f>
        <v>0</v>
      </c>
      <c r="BK856" s="34"/>
      <c r="BL856" s="34">
        <v>94</v>
      </c>
      <c r="BW856" s="34">
        <v>21</v>
      </c>
      <c r="BX856" s="3" t="s">
        <v>1568</v>
      </c>
    </row>
    <row r="857" spans="1:76" x14ac:dyDescent="0.25">
      <c r="A857" s="66"/>
      <c r="D857" s="67" t="s">
        <v>1569</v>
      </c>
      <c r="E857" s="67" t="s">
        <v>4</v>
      </c>
      <c r="G857" s="68">
        <v>280</v>
      </c>
      <c r="K857" s="59"/>
    </row>
    <row r="858" spans="1:76" x14ac:dyDescent="0.25">
      <c r="A858" s="1" t="s">
        <v>1382</v>
      </c>
      <c r="B858" s="2" t="s">
        <v>84</v>
      </c>
      <c r="C858" s="2" t="s">
        <v>1570</v>
      </c>
      <c r="D858" s="86" t="s">
        <v>1571</v>
      </c>
      <c r="E858" s="81"/>
      <c r="F858" s="2" t="s">
        <v>132</v>
      </c>
      <c r="G858" s="34">
        <v>280</v>
      </c>
      <c r="H858" s="64">
        <v>0</v>
      </c>
      <c r="I858" s="34">
        <f>ROUND(G858*H858,2)</f>
        <v>0</v>
      </c>
      <c r="J858" s="65" t="s">
        <v>133</v>
      </c>
      <c r="K858" s="59"/>
      <c r="Z858" s="34">
        <f>ROUND(IF(AQ858="5",BJ858,0),2)</f>
        <v>0</v>
      </c>
      <c r="AB858" s="34">
        <f>ROUND(IF(AQ858="1",BH858,0),2)</f>
        <v>0</v>
      </c>
      <c r="AC858" s="34">
        <f>ROUND(IF(AQ858="1",BI858,0),2)</f>
        <v>0</v>
      </c>
      <c r="AD858" s="34">
        <f>ROUND(IF(AQ858="7",BH858,0),2)</f>
        <v>0</v>
      </c>
      <c r="AE858" s="34">
        <f>ROUND(IF(AQ858="7",BI858,0),2)</f>
        <v>0</v>
      </c>
      <c r="AF858" s="34">
        <f>ROUND(IF(AQ858="2",BH858,0),2)</f>
        <v>0</v>
      </c>
      <c r="AG858" s="34">
        <f>ROUND(IF(AQ858="2",BI858,0),2)</f>
        <v>0</v>
      </c>
      <c r="AH858" s="34">
        <f>ROUND(IF(AQ858="0",BJ858,0),2)</f>
        <v>0</v>
      </c>
      <c r="AI858" s="46" t="s">
        <v>84</v>
      </c>
      <c r="AJ858" s="34">
        <f>IF(AN858=0,I858,0)</f>
        <v>0</v>
      </c>
      <c r="AK858" s="34">
        <f>IF(AN858=12,I858,0)</f>
        <v>0</v>
      </c>
      <c r="AL858" s="34">
        <f>IF(AN858=21,I858,0)</f>
        <v>0</v>
      </c>
      <c r="AN858" s="34">
        <v>21</v>
      </c>
      <c r="AO858" s="34">
        <f>H858*0.935825785</f>
        <v>0</v>
      </c>
      <c r="AP858" s="34">
        <f>H858*(1-0.935825785)</f>
        <v>0</v>
      </c>
      <c r="AQ858" s="65" t="s">
        <v>129</v>
      </c>
      <c r="AV858" s="34">
        <f>ROUND(AW858+AX858,2)</f>
        <v>0</v>
      </c>
      <c r="AW858" s="34">
        <f>ROUND(G858*AO858,2)</f>
        <v>0</v>
      </c>
      <c r="AX858" s="34">
        <f>ROUND(G858*AP858,2)</f>
        <v>0</v>
      </c>
      <c r="AY858" s="65" t="s">
        <v>1560</v>
      </c>
      <c r="AZ858" s="65" t="s">
        <v>1550</v>
      </c>
      <c r="BA858" s="46" t="s">
        <v>136</v>
      </c>
      <c r="BC858" s="34">
        <f>AW858+AX858</f>
        <v>0</v>
      </c>
      <c r="BD858" s="34">
        <f>H858/(100-BE858)*100</f>
        <v>0</v>
      </c>
      <c r="BE858" s="34">
        <v>0</v>
      </c>
      <c r="BF858" s="34">
        <f>858</f>
        <v>858</v>
      </c>
      <c r="BH858" s="34">
        <f>G858*AO858</f>
        <v>0</v>
      </c>
      <c r="BI858" s="34">
        <f>G858*AP858</f>
        <v>0</v>
      </c>
      <c r="BJ858" s="34">
        <f>G858*H858</f>
        <v>0</v>
      </c>
      <c r="BK858" s="34"/>
      <c r="BL858" s="34">
        <v>94</v>
      </c>
      <c r="BW858" s="34">
        <v>21</v>
      </c>
      <c r="BX858" s="3" t="s">
        <v>1571</v>
      </c>
    </row>
    <row r="859" spans="1:76" x14ac:dyDescent="0.25">
      <c r="A859" s="66"/>
      <c r="D859" s="67" t="s">
        <v>1569</v>
      </c>
      <c r="E859" s="67" t="s">
        <v>4</v>
      </c>
      <c r="G859" s="68">
        <v>280</v>
      </c>
      <c r="K859" s="59"/>
    </row>
    <row r="860" spans="1:76" x14ac:dyDescent="0.25">
      <c r="A860" s="60" t="s">
        <v>4</v>
      </c>
      <c r="B860" s="61" t="s">
        <v>84</v>
      </c>
      <c r="C860" s="61" t="s">
        <v>817</v>
      </c>
      <c r="D860" s="167" t="s">
        <v>1572</v>
      </c>
      <c r="E860" s="168"/>
      <c r="F860" s="62" t="s">
        <v>79</v>
      </c>
      <c r="G860" s="62" t="s">
        <v>79</v>
      </c>
      <c r="H860" s="63" t="s">
        <v>79</v>
      </c>
      <c r="I860" s="39">
        <f>SUM(I861:I985)</f>
        <v>0</v>
      </c>
      <c r="J860" s="46" t="s">
        <v>4</v>
      </c>
      <c r="K860" s="59"/>
      <c r="AI860" s="46" t="s">
        <v>84</v>
      </c>
      <c r="AS860" s="39">
        <f>SUM(AJ861:AJ985)</f>
        <v>0</v>
      </c>
      <c r="AT860" s="39">
        <f>SUM(AK861:AK985)</f>
        <v>0</v>
      </c>
      <c r="AU860" s="39">
        <f>SUM(AL861:AL985)</f>
        <v>0</v>
      </c>
    </row>
    <row r="861" spans="1:76" x14ac:dyDescent="0.25">
      <c r="A861" s="1" t="s">
        <v>1573</v>
      </c>
      <c r="B861" s="2" t="s">
        <v>84</v>
      </c>
      <c r="C861" s="2" t="s">
        <v>1574</v>
      </c>
      <c r="D861" s="86" t="s">
        <v>1575</v>
      </c>
      <c r="E861" s="81"/>
      <c r="F861" s="2" t="s">
        <v>143</v>
      </c>
      <c r="G861" s="34">
        <v>93.61</v>
      </c>
      <c r="H861" s="64">
        <v>0</v>
      </c>
      <c r="I861" s="34">
        <f>ROUND(G861*H861,2)</f>
        <v>0</v>
      </c>
      <c r="J861" s="65" t="s">
        <v>133</v>
      </c>
      <c r="K861" s="59"/>
      <c r="Z861" s="34">
        <f>ROUND(IF(AQ861="5",BJ861,0),2)</f>
        <v>0</v>
      </c>
      <c r="AB861" s="34">
        <f>ROUND(IF(AQ861="1",BH861,0),2)</f>
        <v>0</v>
      </c>
      <c r="AC861" s="34">
        <f>ROUND(IF(AQ861="1",BI861,0),2)</f>
        <v>0</v>
      </c>
      <c r="AD861" s="34">
        <f>ROUND(IF(AQ861="7",BH861,0),2)</f>
        <v>0</v>
      </c>
      <c r="AE861" s="34">
        <f>ROUND(IF(AQ861="7",BI861,0),2)</f>
        <v>0</v>
      </c>
      <c r="AF861" s="34">
        <f>ROUND(IF(AQ861="2",BH861,0),2)</f>
        <v>0</v>
      </c>
      <c r="AG861" s="34">
        <f>ROUND(IF(AQ861="2",BI861,0),2)</f>
        <v>0</v>
      </c>
      <c r="AH861" s="34">
        <f>ROUND(IF(AQ861="0",BJ861,0),2)</f>
        <v>0</v>
      </c>
      <c r="AI861" s="46" t="s">
        <v>84</v>
      </c>
      <c r="AJ861" s="34">
        <f>IF(AN861=0,I861,0)</f>
        <v>0</v>
      </c>
      <c r="AK861" s="34">
        <f>IF(AN861=12,I861,0)</f>
        <v>0</v>
      </c>
      <c r="AL861" s="34">
        <f>IF(AN861=21,I861,0)</f>
        <v>0</v>
      </c>
      <c r="AN861" s="34">
        <v>21</v>
      </c>
      <c r="AO861" s="34">
        <f>H861*0</f>
        <v>0</v>
      </c>
      <c r="AP861" s="34">
        <f>H861*(1-0)</f>
        <v>0</v>
      </c>
      <c r="AQ861" s="65" t="s">
        <v>129</v>
      </c>
      <c r="AV861" s="34">
        <f>ROUND(AW861+AX861,2)</f>
        <v>0</v>
      </c>
      <c r="AW861" s="34">
        <f>ROUND(G861*AO861,2)</f>
        <v>0</v>
      </c>
      <c r="AX861" s="34">
        <f>ROUND(G861*AP861,2)</f>
        <v>0</v>
      </c>
      <c r="AY861" s="65" t="s">
        <v>1576</v>
      </c>
      <c r="AZ861" s="65" t="s">
        <v>1550</v>
      </c>
      <c r="BA861" s="46" t="s">
        <v>136</v>
      </c>
      <c r="BC861" s="34">
        <f>AW861+AX861</f>
        <v>0</v>
      </c>
      <c r="BD861" s="34">
        <f>H861/(100-BE861)*100</f>
        <v>0</v>
      </c>
      <c r="BE861" s="34">
        <v>0</v>
      </c>
      <c r="BF861" s="34">
        <f>861</f>
        <v>861</v>
      </c>
      <c r="BH861" s="34">
        <f>G861*AO861</f>
        <v>0</v>
      </c>
      <c r="BI861" s="34">
        <f>G861*AP861</f>
        <v>0</v>
      </c>
      <c r="BJ861" s="34">
        <f>G861*H861</f>
        <v>0</v>
      </c>
      <c r="BK861" s="34"/>
      <c r="BL861" s="34">
        <v>96</v>
      </c>
      <c r="BW861" s="34">
        <v>21</v>
      </c>
      <c r="BX861" s="3" t="s">
        <v>1575</v>
      </c>
    </row>
    <row r="862" spans="1:76" ht="13.5" customHeight="1" x14ac:dyDescent="0.25">
      <c r="A862" s="66"/>
      <c r="C862" s="69" t="s">
        <v>204</v>
      </c>
      <c r="D862" s="169" t="s">
        <v>1577</v>
      </c>
      <c r="E862" s="170"/>
      <c r="F862" s="170"/>
      <c r="G862" s="170"/>
      <c r="H862" s="171"/>
      <c r="I862" s="170"/>
      <c r="J862" s="170"/>
      <c r="K862" s="172"/>
    </row>
    <row r="863" spans="1:76" x14ac:dyDescent="0.25">
      <c r="A863" s="66"/>
      <c r="D863" s="67" t="s">
        <v>1578</v>
      </c>
      <c r="E863" s="67" t="s">
        <v>1579</v>
      </c>
      <c r="G863" s="68">
        <v>12.2</v>
      </c>
      <c r="K863" s="59"/>
    </row>
    <row r="864" spans="1:76" x14ac:dyDescent="0.25">
      <c r="A864" s="66"/>
      <c r="D864" s="67" t="s">
        <v>1580</v>
      </c>
      <c r="E864" s="67" t="s">
        <v>1581</v>
      </c>
      <c r="G864" s="68">
        <v>9.36</v>
      </c>
      <c r="K864" s="59"/>
    </row>
    <row r="865" spans="1:76" x14ac:dyDescent="0.25">
      <c r="A865" s="66"/>
      <c r="D865" s="67" t="s">
        <v>1582</v>
      </c>
      <c r="E865" s="67" t="s">
        <v>1583</v>
      </c>
      <c r="G865" s="68">
        <v>34.049999999999997</v>
      </c>
      <c r="K865" s="59"/>
    </row>
    <row r="866" spans="1:76" x14ac:dyDescent="0.25">
      <c r="A866" s="66"/>
      <c r="D866" s="67" t="s">
        <v>1584</v>
      </c>
      <c r="E866" s="67" t="s">
        <v>1585</v>
      </c>
      <c r="G866" s="68">
        <v>28</v>
      </c>
      <c r="K866" s="59"/>
    </row>
    <row r="867" spans="1:76" x14ac:dyDescent="0.25">
      <c r="A867" s="66"/>
      <c r="D867" s="67" t="s">
        <v>198</v>
      </c>
      <c r="E867" s="67" t="s">
        <v>1116</v>
      </c>
      <c r="G867" s="68">
        <v>10</v>
      </c>
      <c r="K867" s="59"/>
    </row>
    <row r="868" spans="1:76" x14ac:dyDescent="0.25">
      <c r="A868" s="1" t="s">
        <v>1586</v>
      </c>
      <c r="B868" s="2" t="s">
        <v>84</v>
      </c>
      <c r="C868" s="2" t="s">
        <v>1587</v>
      </c>
      <c r="D868" s="86" t="s">
        <v>1588</v>
      </c>
      <c r="E868" s="81"/>
      <c r="F868" s="2" t="s">
        <v>143</v>
      </c>
      <c r="G868" s="34">
        <v>26.565000000000001</v>
      </c>
      <c r="H868" s="64">
        <v>0</v>
      </c>
      <c r="I868" s="34">
        <f>ROUND(G868*H868,2)</f>
        <v>0</v>
      </c>
      <c r="J868" s="65" t="s">
        <v>133</v>
      </c>
      <c r="K868" s="59"/>
      <c r="Z868" s="34">
        <f>ROUND(IF(AQ868="5",BJ868,0),2)</f>
        <v>0</v>
      </c>
      <c r="AB868" s="34">
        <f>ROUND(IF(AQ868="1",BH868,0),2)</f>
        <v>0</v>
      </c>
      <c r="AC868" s="34">
        <f>ROUND(IF(AQ868="1",BI868,0),2)</f>
        <v>0</v>
      </c>
      <c r="AD868" s="34">
        <f>ROUND(IF(AQ868="7",BH868,0),2)</f>
        <v>0</v>
      </c>
      <c r="AE868" s="34">
        <f>ROUND(IF(AQ868="7",BI868,0),2)</f>
        <v>0</v>
      </c>
      <c r="AF868" s="34">
        <f>ROUND(IF(AQ868="2",BH868,0),2)</f>
        <v>0</v>
      </c>
      <c r="AG868" s="34">
        <f>ROUND(IF(AQ868="2",BI868,0),2)</f>
        <v>0</v>
      </c>
      <c r="AH868" s="34">
        <f>ROUND(IF(AQ868="0",BJ868,0),2)</f>
        <v>0</v>
      </c>
      <c r="AI868" s="46" t="s">
        <v>84</v>
      </c>
      <c r="AJ868" s="34">
        <f>IF(AN868=0,I868,0)</f>
        <v>0</v>
      </c>
      <c r="AK868" s="34">
        <f>IF(AN868=12,I868,0)</f>
        <v>0</v>
      </c>
      <c r="AL868" s="34">
        <f>IF(AN868=21,I868,0)</f>
        <v>0</v>
      </c>
      <c r="AN868" s="34">
        <v>21</v>
      </c>
      <c r="AO868" s="34">
        <f>H868*0</f>
        <v>0</v>
      </c>
      <c r="AP868" s="34">
        <f>H868*(1-0)</f>
        <v>0</v>
      </c>
      <c r="AQ868" s="65" t="s">
        <v>129</v>
      </c>
      <c r="AV868" s="34">
        <f>ROUND(AW868+AX868,2)</f>
        <v>0</v>
      </c>
      <c r="AW868" s="34">
        <f>ROUND(G868*AO868,2)</f>
        <v>0</v>
      </c>
      <c r="AX868" s="34">
        <f>ROUND(G868*AP868,2)</f>
        <v>0</v>
      </c>
      <c r="AY868" s="65" t="s">
        <v>1576</v>
      </c>
      <c r="AZ868" s="65" t="s">
        <v>1550</v>
      </c>
      <c r="BA868" s="46" t="s">
        <v>136</v>
      </c>
      <c r="BC868" s="34">
        <f>AW868+AX868</f>
        <v>0</v>
      </c>
      <c r="BD868" s="34">
        <f>H868/(100-BE868)*100</f>
        <v>0</v>
      </c>
      <c r="BE868" s="34">
        <v>0</v>
      </c>
      <c r="BF868" s="34">
        <f>868</f>
        <v>868</v>
      </c>
      <c r="BH868" s="34">
        <f>G868*AO868</f>
        <v>0</v>
      </c>
      <c r="BI868" s="34">
        <f>G868*AP868</f>
        <v>0</v>
      </c>
      <c r="BJ868" s="34">
        <f>G868*H868</f>
        <v>0</v>
      </c>
      <c r="BK868" s="34"/>
      <c r="BL868" s="34">
        <v>96</v>
      </c>
      <c r="BW868" s="34">
        <v>21</v>
      </c>
      <c r="BX868" s="3" t="s">
        <v>1588</v>
      </c>
    </row>
    <row r="869" spans="1:76" ht="13.5" customHeight="1" x14ac:dyDescent="0.25">
      <c r="A869" s="66"/>
      <c r="C869" s="69" t="s">
        <v>204</v>
      </c>
      <c r="D869" s="169" t="s">
        <v>1589</v>
      </c>
      <c r="E869" s="170"/>
      <c r="F869" s="170"/>
      <c r="G869" s="170"/>
      <c r="H869" s="171"/>
      <c r="I869" s="170"/>
      <c r="J869" s="170"/>
      <c r="K869" s="172"/>
    </row>
    <row r="870" spans="1:76" x14ac:dyDescent="0.25">
      <c r="A870" s="66"/>
      <c r="D870" s="67" t="s">
        <v>1590</v>
      </c>
      <c r="E870" s="67" t="s">
        <v>1591</v>
      </c>
      <c r="G870" s="68">
        <v>0.32</v>
      </c>
      <c r="K870" s="59"/>
    </row>
    <row r="871" spans="1:76" x14ac:dyDescent="0.25">
      <c r="A871" s="66"/>
      <c r="D871" s="67" t="s">
        <v>1592</v>
      </c>
      <c r="E871" s="67" t="s">
        <v>1593</v>
      </c>
      <c r="G871" s="68">
        <v>3.12</v>
      </c>
      <c r="K871" s="59"/>
    </row>
    <row r="872" spans="1:76" x14ac:dyDescent="0.25">
      <c r="A872" s="66"/>
      <c r="D872" s="67" t="s">
        <v>1594</v>
      </c>
      <c r="E872" s="67" t="s">
        <v>1595</v>
      </c>
      <c r="G872" s="68">
        <v>5.6</v>
      </c>
      <c r="K872" s="59"/>
    </row>
    <row r="873" spans="1:76" x14ac:dyDescent="0.25">
      <c r="A873" s="66"/>
      <c r="D873" s="67" t="s">
        <v>1596</v>
      </c>
      <c r="E873" s="67" t="s">
        <v>1597</v>
      </c>
      <c r="G873" s="68">
        <v>11.35</v>
      </c>
      <c r="K873" s="59"/>
    </row>
    <row r="874" spans="1:76" x14ac:dyDescent="0.25">
      <c r="A874" s="66"/>
      <c r="D874" s="67" t="s">
        <v>1598</v>
      </c>
      <c r="E874" s="67" t="s">
        <v>1599</v>
      </c>
      <c r="G874" s="68">
        <v>0.875</v>
      </c>
      <c r="K874" s="59"/>
    </row>
    <row r="875" spans="1:76" x14ac:dyDescent="0.25">
      <c r="A875" s="66"/>
      <c r="D875" s="67" t="s">
        <v>1600</v>
      </c>
      <c r="E875" s="67" t="s">
        <v>1601</v>
      </c>
      <c r="G875" s="68">
        <v>5.3</v>
      </c>
      <c r="K875" s="59"/>
    </row>
    <row r="876" spans="1:76" x14ac:dyDescent="0.25">
      <c r="A876" s="1" t="s">
        <v>1602</v>
      </c>
      <c r="B876" s="2" t="s">
        <v>84</v>
      </c>
      <c r="C876" s="2" t="s">
        <v>1603</v>
      </c>
      <c r="D876" s="86" t="s">
        <v>1604</v>
      </c>
      <c r="E876" s="81"/>
      <c r="F876" s="2" t="s">
        <v>132</v>
      </c>
      <c r="G876" s="34">
        <v>49.19</v>
      </c>
      <c r="H876" s="64">
        <v>0</v>
      </c>
      <c r="I876" s="34">
        <f>ROUND(G876*H876,2)</f>
        <v>0</v>
      </c>
      <c r="J876" s="65" t="s">
        <v>133</v>
      </c>
      <c r="K876" s="59"/>
      <c r="Z876" s="34">
        <f>ROUND(IF(AQ876="5",BJ876,0),2)</f>
        <v>0</v>
      </c>
      <c r="AB876" s="34">
        <f>ROUND(IF(AQ876="1",BH876,0),2)</f>
        <v>0</v>
      </c>
      <c r="AC876" s="34">
        <f>ROUND(IF(AQ876="1",BI876,0),2)</f>
        <v>0</v>
      </c>
      <c r="AD876" s="34">
        <f>ROUND(IF(AQ876="7",BH876,0),2)</f>
        <v>0</v>
      </c>
      <c r="AE876" s="34">
        <f>ROUND(IF(AQ876="7",BI876,0),2)</f>
        <v>0</v>
      </c>
      <c r="AF876" s="34">
        <f>ROUND(IF(AQ876="2",BH876,0),2)</f>
        <v>0</v>
      </c>
      <c r="AG876" s="34">
        <f>ROUND(IF(AQ876="2",BI876,0),2)</f>
        <v>0</v>
      </c>
      <c r="AH876" s="34">
        <f>ROUND(IF(AQ876="0",BJ876,0),2)</f>
        <v>0</v>
      </c>
      <c r="AI876" s="46" t="s">
        <v>84</v>
      </c>
      <c r="AJ876" s="34">
        <f>IF(AN876=0,I876,0)</f>
        <v>0</v>
      </c>
      <c r="AK876" s="34">
        <f>IF(AN876=12,I876,0)</f>
        <v>0</v>
      </c>
      <c r="AL876" s="34">
        <f>IF(AN876=21,I876,0)</f>
        <v>0</v>
      </c>
      <c r="AN876" s="34">
        <v>21</v>
      </c>
      <c r="AO876" s="34">
        <f>H876*0.11071199</f>
        <v>0</v>
      </c>
      <c r="AP876" s="34">
        <f>H876*(1-0.11071199)</f>
        <v>0</v>
      </c>
      <c r="AQ876" s="65" t="s">
        <v>129</v>
      </c>
      <c r="AV876" s="34">
        <f>ROUND(AW876+AX876,2)</f>
        <v>0</v>
      </c>
      <c r="AW876" s="34">
        <f>ROUND(G876*AO876,2)</f>
        <v>0</v>
      </c>
      <c r="AX876" s="34">
        <f>ROUND(G876*AP876,2)</f>
        <v>0</v>
      </c>
      <c r="AY876" s="65" t="s">
        <v>1576</v>
      </c>
      <c r="AZ876" s="65" t="s">
        <v>1550</v>
      </c>
      <c r="BA876" s="46" t="s">
        <v>136</v>
      </c>
      <c r="BC876" s="34">
        <f>AW876+AX876</f>
        <v>0</v>
      </c>
      <c r="BD876" s="34">
        <f>H876/(100-BE876)*100</f>
        <v>0</v>
      </c>
      <c r="BE876" s="34">
        <v>0</v>
      </c>
      <c r="BF876" s="34">
        <f>876</f>
        <v>876</v>
      </c>
      <c r="BH876" s="34">
        <f>G876*AO876</f>
        <v>0</v>
      </c>
      <c r="BI876" s="34">
        <f>G876*AP876</f>
        <v>0</v>
      </c>
      <c r="BJ876" s="34">
        <f>G876*H876</f>
        <v>0</v>
      </c>
      <c r="BK876" s="34"/>
      <c r="BL876" s="34">
        <v>96</v>
      </c>
      <c r="BW876" s="34">
        <v>21</v>
      </c>
      <c r="BX876" s="3" t="s">
        <v>1604</v>
      </c>
    </row>
    <row r="877" spans="1:76" x14ac:dyDescent="0.25">
      <c r="A877" s="66"/>
      <c r="D877" s="67" t="s">
        <v>419</v>
      </c>
      <c r="E877" s="67" t="s">
        <v>1605</v>
      </c>
      <c r="G877" s="68">
        <v>12.54</v>
      </c>
      <c r="K877" s="59"/>
    </row>
    <row r="878" spans="1:76" x14ac:dyDescent="0.25">
      <c r="A878" s="66"/>
      <c r="D878" s="67" t="s">
        <v>1606</v>
      </c>
      <c r="E878" s="67" t="s">
        <v>4</v>
      </c>
      <c r="G878" s="68">
        <v>-2</v>
      </c>
      <c r="K878" s="59"/>
    </row>
    <row r="879" spans="1:76" x14ac:dyDescent="0.25">
      <c r="A879" s="66"/>
      <c r="D879" s="67" t="s">
        <v>419</v>
      </c>
      <c r="E879" s="67" t="s">
        <v>1607</v>
      </c>
      <c r="G879" s="68">
        <v>12.54</v>
      </c>
      <c r="K879" s="59"/>
    </row>
    <row r="880" spans="1:76" x14ac:dyDescent="0.25">
      <c r="A880" s="66"/>
      <c r="D880" s="67" t="s">
        <v>1606</v>
      </c>
      <c r="E880" s="67" t="s">
        <v>4</v>
      </c>
      <c r="G880" s="68">
        <v>-2</v>
      </c>
      <c r="K880" s="59"/>
    </row>
    <row r="881" spans="1:76" x14ac:dyDescent="0.25">
      <c r="A881" s="66"/>
      <c r="D881" s="67" t="s">
        <v>1608</v>
      </c>
      <c r="E881" s="67" t="s">
        <v>1609</v>
      </c>
      <c r="G881" s="68">
        <v>4.2</v>
      </c>
      <c r="K881" s="59"/>
    </row>
    <row r="882" spans="1:76" x14ac:dyDescent="0.25">
      <c r="A882" s="66"/>
      <c r="D882" s="67" t="s">
        <v>428</v>
      </c>
      <c r="E882" s="67" t="s">
        <v>4</v>
      </c>
      <c r="G882" s="68">
        <v>-1.6</v>
      </c>
      <c r="K882" s="59"/>
    </row>
    <row r="883" spans="1:76" x14ac:dyDescent="0.25">
      <c r="A883" s="66"/>
      <c r="D883" s="67" t="s">
        <v>1610</v>
      </c>
      <c r="E883" s="67" t="s">
        <v>1611</v>
      </c>
      <c r="G883" s="68">
        <v>28.71</v>
      </c>
      <c r="K883" s="59"/>
    </row>
    <row r="884" spans="1:76" x14ac:dyDescent="0.25">
      <c r="A884" s="66"/>
      <c r="D884" s="67" t="s">
        <v>1612</v>
      </c>
      <c r="E884" s="67" t="s">
        <v>4</v>
      </c>
      <c r="G884" s="68">
        <v>-3.2</v>
      </c>
      <c r="K884" s="59"/>
    </row>
    <row r="885" spans="1:76" x14ac:dyDescent="0.25">
      <c r="A885" s="1" t="s">
        <v>1613</v>
      </c>
      <c r="B885" s="2" t="s">
        <v>84</v>
      </c>
      <c r="C885" s="2" t="s">
        <v>1614</v>
      </c>
      <c r="D885" s="86" t="s">
        <v>1615</v>
      </c>
      <c r="E885" s="81"/>
      <c r="F885" s="2" t="s">
        <v>143</v>
      </c>
      <c r="G885" s="34">
        <v>42.098230000000001</v>
      </c>
      <c r="H885" s="64">
        <v>0</v>
      </c>
      <c r="I885" s="34">
        <f>ROUND(G885*H885,2)</f>
        <v>0</v>
      </c>
      <c r="J885" s="65" t="s">
        <v>133</v>
      </c>
      <c r="K885" s="59"/>
      <c r="Z885" s="34">
        <f>ROUND(IF(AQ885="5",BJ885,0),2)</f>
        <v>0</v>
      </c>
      <c r="AB885" s="34">
        <f>ROUND(IF(AQ885="1",BH885,0),2)</f>
        <v>0</v>
      </c>
      <c r="AC885" s="34">
        <f>ROUND(IF(AQ885="1",BI885,0),2)</f>
        <v>0</v>
      </c>
      <c r="AD885" s="34">
        <f>ROUND(IF(AQ885="7",BH885,0),2)</f>
        <v>0</v>
      </c>
      <c r="AE885" s="34">
        <f>ROUND(IF(AQ885="7",BI885,0),2)</f>
        <v>0</v>
      </c>
      <c r="AF885" s="34">
        <f>ROUND(IF(AQ885="2",BH885,0),2)</f>
        <v>0</v>
      </c>
      <c r="AG885" s="34">
        <f>ROUND(IF(AQ885="2",BI885,0),2)</f>
        <v>0</v>
      </c>
      <c r="AH885" s="34">
        <f>ROUND(IF(AQ885="0",BJ885,0),2)</f>
        <v>0</v>
      </c>
      <c r="AI885" s="46" t="s">
        <v>84</v>
      </c>
      <c r="AJ885" s="34">
        <f>IF(AN885=0,I885,0)</f>
        <v>0</v>
      </c>
      <c r="AK885" s="34">
        <f>IF(AN885=12,I885,0)</f>
        <v>0</v>
      </c>
      <c r="AL885" s="34">
        <f>IF(AN885=21,I885,0)</f>
        <v>0</v>
      </c>
      <c r="AN885" s="34">
        <v>21</v>
      </c>
      <c r="AO885" s="34">
        <f>H885*0.035279024</f>
        <v>0</v>
      </c>
      <c r="AP885" s="34">
        <f>H885*(1-0.035279024)</f>
        <v>0</v>
      </c>
      <c r="AQ885" s="65" t="s">
        <v>129</v>
      </c>
      <c r="AV885" s="34">
        <f>ROUND(AW885+AX885,2)</f>
        <v>0</v>
      </c>
      <c r="AW885" s="34">
        <f>ROUND(G885*AO885,2)</f>
        <v>0</v>
      </c>
      <c r="AX885" s="34">
        <f>ROUND(G885*AP885,2)</f>
        <v>0</v>
      </c>
      <c r="AY885" s="65" t="s">
        <v>1576</v>
      </c>
      <c r="AZ885" s="65" t="s">
        <v>1550</v>
      </c>
      <c r="BA885" s="46" t="s">
        <v>136</v>
      </c>
      <c r="BC885" s="34">
        <f>AW885+AX885</f>
        <v>0</v>
      </c>
      <c r="BD885" s="34">
        <f>H885/(100-BE885)*100</f>
        <v>0</v>
      </c>
      <c r="BE885" s="34">
        <v>0</v>
      </c>
      <c r="BF885" s="34">
        <f>885</f>
        <v>885</v>
      </c>
      <c r="BH885" s="34">
        <f>G885*AO885</f>
        <v>0</v>
      </c>
      <c r="BI885" s="34">
        <f>G885*AP885</f>
        <v>0</v>
      </c>
      <c r="BJ885" s="34">
        <f>G885*H885</f>
        <v>0</v>
      </c>
      <c r="BK885" s="34"/>
      <c r="BL885" s="34">
        <v>96</v>
      </c>
      <c r="BW885" s="34">
        <v>21</v>
      </c>
      <c r="BX885" s="3" t="s">
        <v>1615</v>
      </c>
    </row>
    <row r="886" spans="1:76" x14ac:dyDescent="0.25">
      <c r="A886" s="66"/>
      <c r="D886" s="67" t="s">
        <v>1616</v>
      </c>
      <c r="E886" s="67" t="s">
        <v>1617</v>
      </c>
      <c r="G886" s="68">
        <v>4.3890000000000002</v>
      </c>
      <c r="K886" s="59"/>
    </row>
    <row r="887" spans="1:76" x14ac:dyDescent="0.25">
      <c r="A887" s="66"/>
      <c r="D887" s="67" t="s">
        <v>1618</v>
      </c>
      <c r="E887" s="67" t="s">
        <v>4</v>
      </c>
      <c r="G887" s="68">
        <v>0.42899999999999999</v>
      </c>
      <c r="K887" s="59"/>
    </row>
    <row r="888" spans="1:76" x14ac:dyDescent="0.25">
      <c r="A888" s="66"/>
      <c r="D888" s="67" t="s">
        <v>1619</v>
      </c>
      <c r="E888" s="67" t="s">
        <v>1620</v>
      </c>
      <c r="G888" s="68">
        <v>1.518</v>
      </c>
      <c r="K888" s="59"/>
    </row>
    <row r="889" spans="1:76" x14ac:dyDescent="0.25">
      <c r="A889" s="66"/>
      <c r="D889" s="67" t="s">
        <v>1621</v>
      </c>
      <c r="E889" s="67" t="s">
        <v>4</v>
      </c>
      <c r="G889" s="68">
        <v>-0.36</v>
      </c>
      <c r="K889" s="59"/>
    </row>
    <row r="890" spans="1:76" x14ac:dyDescent="0.25">
      <c r="A890" s="66"/>
      <c r="D890" s="67" t="s">
        <v>1622</v>
      </c>
      <c r="E890" s="67" t="s">
        <v>1623</v>
      </c>
      <c r="G890" s="68">
        <v>6.3380000000000006E-2</v>
      </c>
      <c r="K890" s="59"/>
    </row>
    <row r="891" spans="1:76" x14ac:dyDescent="0.25">
      <c r="A891" s="66"/>
      <c r="D891" s="67" t="s">
        <v>1624</v>
      </c>
      <c r="E891" s="67" t="s">
        <v>1625</v>
      </c>
      <c r="G891" s="68">
        <v>0.26400000000000001</v>
      </c>
      <c r="K891" s="59"/>
    </row>
    <row r="892" spans="1:76" x14ac:dyDescent="0.25">
      <c r="A892" s="66"/>
      <c r="D892" s="67" t="s">
        <v>1626</v>
      </c>
      <c r="E892" s="67" t="s">
        <v>1627</v>
      </c>
      <c r="G892" s="68">
        <v>1.5435000000000001</v>
      </c>
      <c r="K892" s="59"/>
    </row>
    <row r="893" spans="1:76" x14ac:dyDescent="0.25">
      <c r="A893" s="66"/>
      <c r="D893" s="67" t="s">
        <v>1628</v>
      </c>
      <c r="E893" s="67" t="s">
        <v>4</v>
      </c>
      <c r="G893" s="68">
        <v>0.14699999999999999</v>
      </c>
      <c r="K893" s="59"/>
    </row>
    <row r="894" spans="1:76" x14ac:dyDescent="0.25">
      <c r="A894" s="66"/>
      <c r="D894" s="67" t="s">
        <v>1628</v>
      </c>
      <c r="E894" s="67" t="s">
        <v>4</v>
      </c>
      <c r="G894" s="68">
        <v>0.14699999999999999</v>
      </c>
      <c r="K894" s="59"/>
    </row>
    <row r="895" spans="1:76" x14ac:dyDescent="0.25">
      <c r="A895" s="66"/>
      <c r="D895" s="67" t="s">
        <v>1629</v>
      </c>
      <c r="E895" s="67" t="s">
        <v>1630</v>
      </c>
      <c r="G895" s="68">
        <v>1.54</v>
      </c>
      <c r="K895" s="59"/>
    </row>
    <row r="896" spans="1:76" x14ac:dyDescent="0.25">
      <c r="A896" s="66"/>
      <c r="D896" s="67" t="s">
        <v>1631</v>
      </c>
      <c r="E896" s="67" t="s">
        <v>1632</v>
      </c>
      <c r="G896" s="68">
        <v>0.21</v>
      </c>
      <c r="K896" s="59"/>
    </row>
    <row r="897" spans="1:11" x14ac:dyDescent="0.25">
      <c r="A897" s="66"/>
      <c r="D897" s="67" t="s">
        <v>1633</v>
      </c>
      <c r="E897" s="67" t="s">
        <v>1634</v>
      </c>
      <c r="G897" s="68">
        <v>0.12675</v>
      </c>
      <c r="K897" s="59"/>
    </row>
    <row r="898" spans="1:11" x14ac:dyDescent="0.25">
      <c r="A898" s="66"/>
      <c r="D898" s="67" t="s">
        <v>1635</v>
      </c>
      <c r="E898" s="67" t="s">
        <v>1636</v>
      </c>
      <c r="G898" s="68">
        <v>0.86099999999999999</v>
      </c>
      <c r="K898" s="59"/>
    </row>
    <row r="899" spans="1:11" x14ac:dyDescent="0.25">
      <c r="A899" s="66"/>
      <c r="D899" s="67" t="s">
        <v>1637</v>
      </c>
      <c r="E899" s="67" t="s">
        <v>1638</v>
      </c>
      <c r="G899" s="68">
        <v>5.4450000000000003</v>
      </c>
      <c r="K899" s="59"/>
    </row>
    <row r="900" spans="1:11" x14ac:dyDescent="0.25">
      <c r="A900" s="66"/>
      <c r="D900" s="67" t="s">
        <v>1639</v>
      </c>
      <c r="E900" s="67" t="s">
        <v>1640</v>
      </c>
      <c r="G900" s="68">
        <v>5.6349999999999998</v>
      </c>
      <c r="K900" s="59"/>
    </row>
    <row r="901" spans="1:11" x14ac:dyDescent="0.25">
      <c r="A901" s="66"/>
      <c r="D901" s="67" t="s">
        <v>1641</v>
      </c>
      <c r="E901" s="67" t="s">
        <v>1642</v>
      </c>
      <c r="G901" s="68">
        <v>10.85</v>
      </c>
      <c r="K901" s="59"/>
    </row>
    <row r="902" spans="1:11" x14ac:dyDescent="0.25">
      <c r="A902" s="66"/>
      <c r="D902" s="67" t="s">
        <v>1643</v>
      </c>
      <c r="E902" s="67" t="s">
        <v>1644</v>
      </c>
      <c r="G902" s="68">
        <v>-3.8849999999999998</v>
      </c>
      <c r="K902" s="59"/>
    </row>
    <row r="903" spans="1:11" x14ac:dyDescent="0.25">
      <c r="A903" s="66"/>
      <c r="D903" s="67" t="s">
        <v>1645</v>
      </c>
      <c r="E903" s="67" t="s">
        <v>1646</v>
      </c>
      <c r="G903" s="68">
        <v>2.1</v>
      </c>
      <c r="K903" s="59"/>
    </row>
    <row r="904" spans="1:11" x14ac:dyDescent="0.25">
      <c r="A904" s="66"/>
      <c r="D904" s="67" t="s">
        <v>1647</v>
      </c>
      <c r="E904" s="67" t="s">
        <v>4</v>
      </c>
      <c r="G904" s="68">
        <v>-0.126</v>
      </c>
      <c r="K904" s="59"/>
    </row>
    <row r="905" spans="1:11" x14ac:dyDescent="0.25">
      <c r="A905" s="66"/>
      <c r="D905" s="67" t="s">
        <v>1648</v>
      </c>
      <c r="E905" s="67" t="s">
        <v>1649</v>
      </c>
      <c r="G905" s="68">
        <v>1.68</v>
      </c>
      <c r="K905" s="59"/>
    </row>
    <row r="906" spans="1:11" x14ac:dyDescent="0.25">
      <c r="A906" s="66"/>
      <c r="D906" s="67" t="s">
        <v>1647</v>
      </c>
      <c r="E906" s="67" t="s">
        <v>4</v>
      </c>
      <c r="G906" s="68">
        <v>-0.126</v>
      </c>
      <c r="K906" s="59"/>
    </row>
    <row r="907" spans="1:11" x14ac:dyDescent="0.25">
      <c r="A907" s="66"/>
      <c r="D907" s="67" t="s">
        <v>1650</v>
      </c>
      <c r="E907" s="67" t="s">
        <v>1651</v>
      </c>
      <c r="G907" s="68">
        <v>0.1183</v>
      </c>
      <c r="K907" s="59"/>
    </row>
    <row r="908" spans="1:11" x14ac:dyDescent="0.25">
      <c r="A908" s="66"/>
      <c r="D908" s="67" t="s">
        <v>1650</v>
      </c>
      <c r="E908" s="67" t="s">
        <v>1652</v>
      </c>
      <c r="G908" s="68">
        <v>0.1183</v>
      </c>
      <c r="K908" s="59"/>
    </row>
    <row r="909" spans="1:11" x14ac:dyDescent="0.25">
      <c r="A909" s="66"/>
      <c r="D909" s="67" t="s">
        <v>1653</v>
      </c>
      <c r="E909" s="67" t="s">
        <v>1654</v>
      </c>
      <c r="G909" s="68">
        <v>0.42</v>
      </c>
      <c r="K909" s="59"/>
    </row>
    <row r="910" spans="1:11" x14ac:dyDescent="0.25">
      <c r="A910" s="66"/>
      <c r="D910" s="67" t="s">
        <v>1653</v>
      </c>
      <c r="E910" s="67" t="s">
        <v>4</v>
      </c>
      <c r="G910" s="68">
        <v>0.42</v>
      </c>
      <c r="K910" s="59"/>
    </row>
    <row r="911" spans="1:11" x14ac:dyDescent="0.25">
      <c r="A911" s="66"/>
      <c r="D911" s="67" t="s">
        <v>1655</v>
      </c>
      <c r="E911" s="67" t="s">
        <v>1656</v>
      </c>
      <c r="G911" s="68">
        <v>3.57</v>
      </c>
      <c r="K911" s="59"/>
    </row>
    <row r="912" spans="1:11" x14ac:dyDescent="0.25">
      <c r="A912" s="66"/>
      <c r="D912" s="67" t="s">
        <v>166</v>
      </c>
      <c r="E912" s="67" t="s">
        <v>1116</v>
      </c>
      <c r="G912" s="68">
        <v>5</v>
      </c>
      <c r="K912" s="59"/>
    </row>
    <row r="913" spans="1:76" x14ac:dyDescent="0.25">
      <c r="A913" s="1" t="s">
        <v>1657</v>
      </c>
      <c r="B913" s="2" t="s">
        <v>84</v>
      </c>
      <c r="C913" s="2" t="s">
        <v>1658</v>
      </c>
      <c r="D913" s="86" t="s">
        <v>1659</v>
      </c>
      <c r="E913" s="81"/>
      <c r="F913" s="2" t="s">
        <v>132</v>
      </c>
      <c r="G913" s="34">
        <v>50.02</v>
      </c>
      <c r="H913" s="64">
        <v>0</v>
      </c>
      <c r="I913" s="34">
        <f>ROUND(G913*H913,2)</f>
        <v>0</v>
      </c>
      <c r="J913" s="65" t="s">
        <v>133</v>
      </c>
      <c r="K913" s="59"/>
      <c r="Z913" s="34">
        <f>ROUND(IF(AQ913="5",BJ913,0),2)</f>
        <v>0</v>
      </c>
      <c r="AB913" s="34">
        <f>ROUND(IF(AQ913="1",BH913,0),2)</f>
        <v>0</v>
      </c>
      <c r="AC913" s="34">
        <f>ROUND(IF(AQ913="1",BI913,0),2)</f>
        <v>0</v>
      </c>
      <c r="AD913" s="34">
        <f>ROUND(IF(AQ913="7",BH913,0),2)</f>
        <v>0</v>
      </c>
      <c r="AE913" s="34">
        <f>ROUND(IF(AQ913="7",BI913,0),2)</f>
        <v>0</v>
      </c>
      <c r="AF913" s="34">
        <f>ROUND(IF(AQ913="2",BH913,0),2)</f>
        <v>0</v>
      </c>
      <c r="AG913" s="34">
        <f>ROUND(IF(AQ913="2",BI913,0),2)</f>
        <v>0</v>
      </c>
      <c r="AH913" s="34">
        <f>ROUND(IF(AQ913="0",BJ913,0),2)</f>
        <v>0</v>
      </c>
      <c r="AI913" s="46" t="s">
        <v>84</v>
      </c>
      <c r="AJ913" s="34">
        <f>IF(AN913=0,I913,0)</f>
        <v>0</v>
      </c>
      <c r="AK913" s="34">
        <f>IF(AN913=12,I913,0)</f>
        <v>0</v>
      </c>
      <c r="AL913" s="34">
        <f>IF(AN913=21,I913,0)</f>
        <v>0</v>
      </c>
      <c r="AN913" s="34">
        <v>21</v>
      </c>
      <c r="AO913" s="34">
        <f>H913*0.120317218</f>
        <v>0</v>
      </c>
      <c r="AP913" s="34">
        <f>H913*(1-0.120317218)</f>
        <v>0</v>
      </c>
      <c r="AQ913" s="65" t="s">
        <v>129</v>
      </c>
      <c r="AV913" s="34">
        <f>ROUND(AW913+AX913,2)</f>
        <v>0</v>
      </c>
      <c r="AW913" s="34">
        <f>ROUND(G913*AO913,2)</f>
        <v>0</v>
      </c>
      <c r="AX913" s="34">
        <f>ROUND(G913*AP913,2)</f>
        <v>0</v>
      </c>
      <c r="AY913" s="65" t="s">
        <v>1576</v>
      </c>
      <c r="AZ913" s="65" t="s">
        <v>1550</v>
      </c>
      <c r="BA913" s="46" t="s">
        <v>136</v>
      </c>
      <c r="BC913" s="34">
        <f>AW913+AX913</f>
        <v>0</v>
      </c>
      <c r="BD913" s="34">
        <f>H913/(100-BE913)*100</f>
        <v>0</v>
      </c>
      <c r="BE913" s="34">
        <v>0</v>
      </c>
      <c r="BF913" s="34">
        <f>913</f>
        <v>913</v>
      </c>
      <c r="BH913" s="34">
        <f>G913*AO913</f>
        <v>0</v>
      </c>
      <c r="BI913" s="34">
        <f>G913*AP913</f>
        <v>0</v>
      </c>
      <c r="BJ913" s="34">
        <f>G913*H913</f>
        <v>0</v>
      </c>
      <c r="BK913" s="34"/>
      <c r="BL913" s="34">
        <v>96</v>
      </c>
      <c r="BW913" s="34">
        <v>21</v>
      </c>
      <c r="BX913" s="3" t="s">
        <v>1659</v>
      </c>
    </row>
    <row r="914" spans="1:76" x14ac:dyDescent="0.25">
      <c r="A914" s="66"/>
      <c r="D914" s="67" t="s">
        <v>1660</v>
      </c>
      <c r="E914" s="67" t="s">
        <v>1661</v>
      </c>
      <c r="G914" s="68">
        <v>1.32</v>
      </c>
      <c r="K914" s="59"/>
    </row>
    <row r="915" spans="1:76" x14ac:dyDescent="0.25">
      <c r="A915" s="66"/>
      <c r="D915" s="67" t="s">
        <v>1662</v>
      </c>
      <c r="E915" s="67" t="s">
        <v>1663</v>
      </c>
      <c r="G915" s="68">
        <v>13.86</v>
      </c>
      <c r="K915" s="59"/>
    </row>
    <row r="916" spans="1:76" x14ac:dyDescent="0.25">
      <c r="A916" s="66"/>
      <c r="D916" s="67" t="s">
        <v>428</v>
      </c>
      <c r="E916" s="67" t="s">
        <v>4</v>
      </c>
      <c r="G916" s="68">
        <v>-1.6</v>
      </c>
      <c r="K916" s="59"/>
    </row>
    <row r="917" spans="1:76" x14ac:dyDescent="0.25">
      <c r="A917" s="66"/>
      <c r="D917" s="67" t="s">
        <v>428</v>
      </c>
      <c r="E917" s="67" t="s">
        <v>4</v>
      </c>
      <c r="G917" s="68">
        <v>-1.6</v>
      </c>
      <c r="K917" s="59"/>
    </row>
    <row r="918" spans="1:76" x14ac:dyDescent="0.25">
      <c r="A918" s="66"/>
      <c r="D918" s="67" t="s">
        <v>1664</v>
      </c>
      <c r="E918" s="67" t="s">
        <v>1665</v>
      </c>
      <c r="G918" s="68">
        <v>7.26</v>
      </c>
      <c r="K918" s="59"/>
    </row>
    <row r="919" spans="1:76" x14ac:dyDescent="0.25">
      <c r="A919" s="66"/>
      <c r="D919" s="67" t="s">
        <v>1666</v>
      </c>
      <c r="E919" s="67" t="s">
        <v>4</v>
      </c>
      <c r="G919" s="68">
        <v>3.96</v>
      </c>
      <c r="K919" s="59"/>
    </row>
    <row r="920" spans="1:76" x14ac:dyDescent="0.25">
      <c r="A920" s="66"/>
      <c r="D920" s="67" t="s">
        <v>428</v>
      </c>
      <c r="E920" s="67" t="s">
        <v>4</v>
      </c>
      <c r="G920" s="68">
        <v>-1.6</v>
      </c>
      <c r="K920" s="59"/>
    </row>
    <row r="921" spans="1:76" x14ac:dyDescent="0.25">
      <c r="A921" s="66"/>
      <c r="D921" s="67" t="s">
        <v>155</v>
      </c>
      <c r="E921" s="67" t="s">
        <v>1667</v>
      </c>
      <c r="G921" s="68">
        <v>1.65</v>
      </c>
      <c r="K921" s="59"/>
    </row>
    <row r="922" spans="1:76" x14ac:dyDescent="0.25">
      <c r="A922" s="66"/>
      <c r="D922" s="67" t="s">
        <v>1660</v>
      </c>
      <c r="E922" s="67" t="s">
        <v>1668</v>
      </c>
      <c r="G922" s="68">
        <v>1.32</v>
      </c>
      <c r="K922" s="59"/>
    </row>
    <row r="923" spans="1:76" x14ac:dyDescent="0.25">
      <c r="A923" s="66"/>
      <c r="D923" s="67" t="s">
        <v>1669</v>
      </c>
      <c r="E923" s="67" t="s">
        <v>1670</v>
      </c>
      <c r="G923" s="68">
        <v>30.25</v>
      </c>
      <c r="K923" s="59"/>
    </row>
    <row r="924" spans="1:76" x14ac:dyDescent="0.25">
      <c r="A924" s="66"/>
      <c r="D924" s="67" t="s">
        <v>1671</v>
      </c>
      <c r="E924" s="67" t="s">
        <v>4</v>
      </c>
      <c r="G924" s="68">
        <v>-4.8</v>
      </c>
      <c r="K924" s="59"/>
    </row>
    <row r="925" spans="1:76" x14ac:dyDescent="0.25">
      <c r="A925" s="1" t="s">
        <v>1672</v>
      </c>
      <c r="B925" s="2" t="s">
        <v>84</v>
      </c>
      <c r="C925" s="2" t="s">
        <v>1673</v>
      </c>
      <c r="D925" s="86" t="s">
        <v>1674</v>
      </c>
      <c r="E925" s="81"/>
      <c r="F925" s="2" t="s">
        <v>143</v>
      </c>
      <c r="G925" s="34">
        <v>3.9</v>
      </c>
      <c r="H925" s="64">
        <v>0</v>
      </c>
      <c r="I925" s="34">
        <f>ROUND(G925*H925,2)</f>
        <v>0</v>
      </c>
      <c r="J925" s="65" t="s">
        <v>133</v>
      </c>
      <c r="K925" s="59"/>
      <c r="Z925" s="34">
        <f>ROUND(IF(AQ925="5",BJ925,0),2)</f>
        <v>0</v>
      </c>
      <c r="AB925" s="34">
        <f>ROUND(IF(AQ925="1",BH925,0),2)</f>
        <v>0</v>
      </c>
      <c r="AC925" s="34">
        <f>ROUND(IF(AQ925="1",BI925,0),2)</f>
        <v>0</v>
      </c>
      <c r="AD925" s="34">
        <f>ROUND(IF(AQ925="7",BH925,0),2)</f>
        <v>0</v>
      </c>
      <c r="AE925" s="34">
        <f>ROUND(IF(AQ925="7",BI925,0),2)</f>
        <v>0</v>
      </c>
      <c r="AF925" s="34">
        <f>ROUND(IF(AQ925="2",BH925,0),2)</f>
        <v>0</v>
      </c>
      <c r="AG925" s="34">
        <f>ROUND(IF(AQ925="2",BI925,0),2)</f>
        <v>0</v>
      </c>
      <c r="AH925" s="34">
        <f>ROUND(IF(AQ925="0",BJ925,0),2)</f>
        <v>0</v>
      </c>
      <c r="AI925" s="46" t="s">
        <v>84</v>
      </c>
      <c r="AJ925" s="34">
        <f>IF(AN925=0,I925,0)</f>
        <v>0</v>
      </c>
      <c r="AK925" s="34">
        <f>IF(AN925=12,I925,0)</f>
        <v>0</v>
      </c>
      <c r="AL925" s="34">
        <f>IF(AN925=21,I925,0)</f>
        <v>0</v>
      </c>
      <c r="AN925" s="34">
        <v>21</v>
      </c>
      <c r="AO925" s="34">
        <f>H925*0.041254832</f>
        <v>0</v>
      </c>
      <c r="AP925" s="34">
        <f>H925*(1-0.041254832)</f>
        <v>0</v>
      </c>
      <c r="AQ925" s="65" t="s">
        <v>129</v>
      </c>
      <c r="AV925" s="34">
        <f>ROUND(AW925+AX925,2)</f>
        <v>0</v>
      </c>
      <c r="AW925" s="34">
        <f>ROUND(G925*AO925,2)</f>
        <v>0</v>
      </c>
      <c r="AX925" s="34">
        <f>ROUND(G925*AP925,2)</f>
        <v>0</v>
      </c>
      <c r="AY925" s="65" t="s">
        <v>1576</v>
      </c>
      <c r="AZ925" s="65" t="s">
        <v>1550</v>
      </c>
      <c r="BA925" s="46" t="s">
        <v>136</v>
      </c>
      <c r="BC925" s="34">
        <f>AW925+AX925</f>
        <v>0</v>
      </c>
      <c r="BD925" s="34">
        <f>H925/(100-BE925)*100</f>
        <v>0</v>
      </c>
      <c r="BE925" s="34">
        <v>0</v>
      </c>
      <c r="BF925" s="34">
        <f>925</f>
        <v>925</v>
      </c>
      <c r="BH925" s="34">
        <f>G925*AO925</f>
        <v>0</v>
      </c>
      <c r="BI925" s="34">
        <f>G925*AP925</f>
        <v>0</v>
      </c>
      <c r="BJ925" s="34">
        <f>G925*H925</f>
        <v>0</v>
      </c>
      <c r="BK925" s="34"/>
      <c r="BL925" s="34">
        <v>96</v>
      </c>
      <c r="BW925" s="34">
        <v>21</v>
      </c>
      <c r="BX925" s="3" t="s">
        <v>1674</v>
      </c>
    </row>
    <row r="926" spans="1:76" x14ac:dyDescent="0.25">
      <c r="A926" s="66"/>
      <c r="D926" s="67" t="s">
        <v>1675</v>
      </c>
      <c r="E926" s="67" t="s">
        <v>1676</v>
      </c>
      <c r="G926" s="68">
        <v>2.4</v>
      </c>
      <c r="K926" s="59"/>
    </row>
    <row r="927" spans="1:76" x14ac:dyDescent="0.25">
      <c r="A927" s="66"/>
      <c r="D927" s="67" t="s">
        <v>1677</v>
      </c>
      <c r="E927" s="67" t="s">
        <v>1678</v>
      </c>
      <c r="G927" s="68">
        <v>1.5</v>
      </c>
      <c r="K927" s="59"/>
    </row>
    <row r="928" spans="1:76" x14ac:dyDescent="0.25">
      <c r="A928" s="1" t="s">
        <v>1679</v>
      </c>
      <c r="B928" s="2" t="s">
        <v>84</v>
      </c>
      <c r="C928" s="2" t="s">
        <v>1680</v>
      </c>
      <c r="D928" s="86" t="s">
        <v>1681</v>
      </c>
      <c r="E928" s="81"/>
      <c r="F928" s="2" t="s">
        <v>132</v>
      </c>
      <c r="G928" s="34">
        <v>297.89999999999998</v>
      </c>
      <c r="H928" s="64">
        <v>0</v>
      </c>
      <c r="I928" s="34">
        <f>ROUND(G928*H928,2)</f>
        <v>0</v>
      </c>
      <c r="J928" s="65" t="s">
        <v>133</v>
      </c>
      <c r="K928" s="59"/>
      <c r="Z928" s="34">
        <f>ROUND(IF(AQ928="5",BJ928,0),2)</f>
        <v>0</v>
      </c>
      <c r="AB928" s="34">
        <f>ROUND(IF(AQ928="1",BH928,0),2)</f>
        <v>0</v>
      </c>
      <c r="AC928" s="34">
        <f>ROUND(IF(AQ928="1",BI928,0),2)</f>
        <v>0</v>
      </c>
      <c r="AD928" s="34">
        <f>ROUND(IF(AQ928="7",BH928,0),2)</f>
        <v>0</v>
      </c>
      <c r="AE928" s="34">
        <f>ROUND(IF(AQ928="7",BI928,0),2)</f>
        <v>0</v>
      </c>
      <c r="AF928" s="34">
        <f>ROUND(IF(AQ928="2",BH928,0),2)</f>
        <v>0</v>
      </c>
      <c r="AG928" s="34">
        <f>ROUND(IF(AQ928="2",BI928,0),2)</f>
        <v>0</v>
      </c>
      <c r="AH928" s="34">
        <f>ROUND(IF(AQ928="0",BJ928,0),2)</f>
        <v>0</v>
      </c>
      <c r="AI928" s="46" t="s">
        <v>84</v>
      </c>
      <c r="AJ928" s="34">
        <f>IF(AN928=0,I928,0)</f>
        <v>0</v>
      </c>
      <c r="AK928" s="34">
        <f>IF(AN928=12,I928,0)</f>
        <v>0</v>
      </c>
      <c r="AL928" s="34">
        <f>IF(AN928=21,I928,0)</f>
        <v>0</v>
      </c>
      <c r="AN928" s="34">
        <v>21</v>
      </c>
      <c r="AO928" s="34">
        <f>H928*0</f>
        <v>0</v>
      </c>
      <c r="AP928" s="34">
        <f>H928*(1-0)</f>
        <v>0</v>
      </c>
      <c r="AQ928" s="65" t="s">
        <v>129</v>
      </c>
      <c r="AV928" s="34">
        <f>ROUND(AW928+AX928,2)</f>
        <v>0</v>
      </c>
      <c r="AW928" s="34">
        <f>ROUND(G928*AO928,2)</f>
        <v>0</v>
      </c>
      <c r="AX928" s="34">
        <f>ROUND(G928*AP928,2)</f>
        <v>0</v>
      </c>
      <c r="AY928" s="65" t="s">
        <v>1576</v>
      </c>
      <c r="AZ928" s="65" t="s">
        <v>1550</v>
      </c>
      <c r="BA928" s="46" t="s">
        <v>136</v>
      </c>
      <c r="BC928" s="34">
        <f>AW928+AX928</f>
        <v>0</v>
      </c>
      <c r="BD928" s="34">
        <f>H928/(100-BE928)*100</f>
        <v>0</v>
      </c>
      <c r="BE928" s="34">
        <v>0</v>
      </c>
      <c r="BF928" s="34">
        <f>928</f>
        <v>928</v>
      </c>
      <c r="BH928" s="34">
        <f>G928*AO928</f>
        <v>0</v>
      </c>
      <c r="BI928" s="34">
        <f>G928*AP928</f>
        <v>0</v>
      </c>
      <c r="BJ928" s="34">
        <f>G928*H928</f>
        <v>0</v>
      </c>
      <c r="BK928" s="34"/>
      <c r="BL928" s="34">
        <v>96</v>
      </c>
      <c r="BW928" s="34">
        <v>21</v>
      </c>
      <c r="BX928" s="3" t="s">
        <v>1681</v>
      </c>
    </row>
    <row r="929" spans="1:76" ht="13.5" customHeight="1" x14ac:dyDescent="0.25">
      <c r="A929" s="66"/>
      <c r="C929" s="69" t="s">
        <v>204</v>
      </c>
      <c r="D929" s="169" t="s">
        <v>1682</v>
      </c>
      <c r="E929" s="170"/>
      <c r="F929" s="170"/>
      <c r="G929" s="170"/>
      <c r="H929" s="171"/>
      <c r="I929" s="170"/>
      <c r="J929" s="170"/>
      <c r="K929" s="172"/>
    </row>
    <row r="930" spans="1:76" x14ac:dyDescent="0.25">
      <c r="A930" s="66"/>
      <c r="D930" s="67" t="s">
        <v>803</v>
      </c>
      <c r="E930" s="67" t="s">
        <v>1683</v>
      </c>
      <c r="G930" s="68">
        <v>62.4</v>
      </c>
      <c r="K930" s="59"/>
    </row>
    <row r="931" spans="1:76" x14ac:dyDescent="0.25">
      <c r="A931" s="66"/>
      <c r="D931" s="67" t="s">
        <v>913</v>
      </c>
      <c r="E931" s="67" t="s">
        <v>1684</v>
      </c>
      <c r="G931" s="68">
        <v>112</v>
      </c>
      <c r="K931" s="59"/>
    </row>
    <row r="932" spans="1:76" x14ac:dyDescent="0.25">
      <c r="A932" s="66"/>
      <c r="D932" s="67" t="s">
        <v>1685</v>
      </c>
      <c r="E932" s="67" t="s">
        <v>1686</v>
      </c>
      <c r="G932" s="68">
        <v>17.5</v>
      </c>
      <c r="K932" s="59"/>
    </row>
    <row r="933" spans="1:76" x14ac:dyDescent="0.25">
      <c r="A933" s="66"/>
      <c r="D933" s="67" t="s">
        <v>720</v>
      </c>
      <c r="E933" s="67" t="s">
        <v>1687</v>
      </c>
      <c r="G933" s="68">
        <v>106</v>
      </c>
      <c r="K933" s="59"/>
    </row>
    <row r="934" spans="1:76" x14ac:dyDescent="0.25">
      <c r="A934" s="1" t="s">
        <v>1688</v>
      </c>
      <c r="B934" s="2" t="s">
        <v>84</v>
      </c>
      <c r="C934" s="2" t="s">
        <v>1689</v>
      </c>
      <c r="D934" s="86" t="s">
        <v>1690</v>
      </c>
      <c r="E934" s="81"/>
      <c r="F934" s="2" t="s">
        <v>239</v>
      </c>
      <c r="G934" s="34">
        <v>47.6</v>
      </c>
      <c r="H934" s="64">
        <v>0</v>
      </c>
      <c r="I934" s="34">
        <f>ROUND(G934*H934,2)</f>
        <v>0</v>
      </c>
      <c r="J934" s="65" t="s">
        <v>133</v>
      </c>
      <c r="K934" s="59"/>
      <c r="Z934" s="34">
        <f>ROUND(IF(AQ934="5",BJ934,0),2)</f>
        <v>0</v>
      </c>
      <c r="AB934" s="34">
        <f>ROUND(IF(AQ934="1",BH934,0),2)</f>
        <v>0</v>
      </c>
      <c r="AC934" s="34">
        <f>ROUND(IF(AQ934="1",BI934,0),2)</f>
        <v>0</v>
      </c>
      <c r="AD934" s="34">
        <f>ROUND(IF(AQ934="7",BH934,0),2)</f>
        <v>0</v>
      </c>
      <c r="AE934" s="34">
        <f>ROUND(IF(AQ934="7",BI934,0),2)</f>
        <v>0</v>
      </c>
      <c r="AF934" s="34">
        <f>ROUND(IF(AQ934="2",BH934,0),2)</f>
        <v>0</v>
      </c>
      <c r="AG934" s="34">
        <f>ROUND(IF(AQ934="2",BI934,0),2)</f>
        <v>0</v>
      </c>
      <c r="AH934" s="34">
        <f>ROUND(IF(AQ934="0",BJ934,0),2)</f>
        <v>0</v>
      </c>
      <c r="AI934" s="46" t="s">
        <v>84</v>
      </c>
      <c r="AJ934" s="34">
        <f>IF(AN934=0,I934,0)</f>
        <v>0</v>
      </c>
      <c r="AK934" s="34">
        <f>IF(AN934=12,I934,0)</f>
        <v>0</v>
      </c>
      <c r="AL934" s="34">
        <f>IF(AN934=21,I934,0)</f>
        <v>0</v>
      </c>
      <c r="AN934" s="34">
        <v>21</v>
      </c>
      <c r="AO934" s="34">
        <f>H934*0.030975982</f>
        <v>0</v>
      </c>
      <c r="AP934" s="34">
        <f>H934*(1-0.030975982)</f>
        <v>0</v>
      </c>
      <c r="AQ934" s="65" t="s">
        <v>129</v>
      </c>
      <c r="AV934" s="34">
        <f>ROUND(AW934+AX934,2)</f>
        <v>0</v>
      </c>
      <c r="AW934" s="34">
        <f>ROUND(G934*AO934,2)</f>
        <v>0</v>
      </c>
      <c r="AX934" s="34">
        <f>ROUND(G934*AP934,2)</f>
        <v>0</v>
      </c>
      <c r="AY934" s="65" t="s">
        <v>1576</v>
      </c>
      <c r="AZ934" s="65" t="s">
        <v>1550</v>
      </c>
      <c r="BA934" s="46" t="s">
        <v>136</v>
      </c>
      <c r="BC934" s="34">
        <f>AW934+AX934</f>
        <v>0</v>
      </c>
      <c r="BD934" s="34">
        <f>H934/(100-BE934)*100</f>
        <v>0</v>
      </c>
      <c r="BE934" s="34">
        <v>0</v>
      </c>
      <c r="BF934" s="34">
        <f>934</f>
        <v>934</v>
      </c>
      <c r="BH934" s="34">
        <f>G934*AO934</f>
        <v>0</v>
      </c>
      <c r="BI934" s="34">
        <f>G934*AP934</f>
        <v>0</v>
      </c>
      <c r="BJ934" s="34">
        <f>G934*H934</f>
        <v>0</v>
      </c>
      <c r="BK934" s="34"/>
      <c r="BL934" s="34">
        <v>96</v>
      </c>
      <c r="BW934" s="34">
        <v>21</v>
      </c>
      <c r="BX934" s="3" t="s">
        <v>1690</v>
      </c>
    </row>
    <row r="935" spans="1:76" x14ac:dyDescent="0.25">
      <c r="A935" s="66"/>
      <c r="D935" s="67" t="s">
        <v>1691</v>
      </c>
      <c r="E935" s="67" t="s">
        <v>1692</v>
      </c>
      <c r="G935" s="68">
        <v>32.4</v>
      </c>
      <c r="K935" s="59"/>
    </row>
    <row r="936" spans="1:76" x14ac:dyDescent="0.25">
      <c r="A936" s="66"/>
      <c r="D936" s="67" t="s">
        <v>1693</v>
      </c>
      <c r="E936" s="67" t="s">
        <v>1694</v>
      </c>
      <c r="G936" s="68">
        <v>15.2</v>
      </c>
      <c r="K936" s="59"/>
    </row>
    <row r="937" spans="1:76" x14ac:dyDescent="0.25">
      <c r="A937" s="1" t="s">
        <v>1695</v>
      </c>
      <c r="B937" s="2" t="s">
        <v>84</v>
      </c>
      <c r="C937" s="2" t="s">
        <v>1696</v>
      </c>
      <c r="D937" s="86" t="s">
        <v>1697</v>
      </c>
      <c r="E937" s="81"/>
      <c r="F937" s="2" t="s">
        <v>132</v>
      </c>
      <c r="G937" s="34">
        <v>1.92</v>
      </c>
      <c r="H937" s="64">
        <v>0</v>
      </c>
      <c r="I937" s="34">
        <f>ROUND(G937*H937,2)</f>
        <v>0</v>
      </c>
      <c r="J937" s="65" t="s">
        <v>133</v>
      </c>
      <c r="K937" s="59"/>
      <c r="Z937" s="34">
        <f>ROUND(IF(AQ937="5",BJ937,0),2)</f>
        <v>0</v>
      </c>
      <c r="AB937" s="34">
        <f>ROUND(IF(AQ937="1",BH937,0),2)</f>
        <v>0</v>
      </c>
      <c r="AC937" s="34">
        <f>ROUND(IF(AQ937="1",BI937,0),2)</f>
        <v>0</v>
      </c>
      <c r="AD937" s="34">
        <f>ROUND(IF(AQ937="7",BH937,0),2)</f>
        <v>0</v>
      </c>
      <c r="AE937" s="34">
        <f>ROUND(IF(AQ937="7",BI937,0),2)</f>
        <v>0</v>
      </c>
      <c r="AF937" s="34">
        <f>ROUND(IF(AQ937="2",BH937,0),2)</f>
        <v>0</v>
      </c>
      <c r="AG937" s="34">
        <f>ROUND(IF(AQ937="2",BI937,0),2)</f>
        <v>0</v>
      </c>
      <c r="AH937" s="34">
        <f>ROUND(IF(AQ937="0",BJ937,0),2)</f>
        <v>0</v>
      </c>
      <c r="AI937" s="46" t="s">
        <v>84</v>
      </c>
      <c r="AJ937" s="34">
        <f>IF(AN937=0,I937,0)</f>
        <v>0</v>
      </c>
      <c r="AK937" s="34">
        <f>IF(AN937=12,I937,0)</f>
        <v>0</v>
      </c>
      <c r="AL937" s="34">
        <f>IF(AN937=21,I937,0)</f>
        <v>0</v>
      </c>
      <c r="AN937" s="34">
        <v>21</v>
      </c>
      <c r="AO937" s="34">
        <f>H937*0.059978137</f>
        <v>0</v>
      </c>
      <c r="AP937" s="34">
        <f>H937*(1-0.059978137)</f>
        <v>0</v>
      </c>
      <c r="AQ937" s="65" t="s">
        <v>129</v>
      </c>
      <c r="AV937" s="34">
        <f>ROUND(AW937+AX937,2)</f>
        <v>0</v>
      </c>
      <c r="AW937" s="34">
        <f>ROUND(G937*AO937,2)</f>
        <v>0</v>
      </c>
      <c r="AX937" s="34">
        <f>ROUND(G937*AP937,2)</f>
        <v>0</v>
      </c>
      <c r="AY937" s="65" t="s">
        <v>1576</v>
      </c>
      <c r="AZ937" s="65" t="s">
        <v>1550</v>
      </c>
      <c r="BA937" s="46" t="s">
        <v>136</v>
      </c>
      <c r="BC937" s="34">
        <f>AW937+AX937</f>
        <v>0</v>
      </c>
      <c r="BD937" s="34">
        <f>H937/(100-BE937)*100</f>
        <v>0</v>
      </c>
      <c r="BE937" s="34">
        <v>0</v>
      </c>
      <c r="BF937" s="34">
        <f>937</f>
        <v>937</v>
      </c>
      <c r="BH937" s="34">
        <f>G937*AO937</f>
        <v>0</v>
      </c>
      <c r="BI937" s="34">
        <f>G937*AP937</f>
        <v>0</v>
      </c>
      <c r="BJ937" s="34">
        <f>G937*H937</f>
        <v>0</v>
      </c>
      <c r="BK937" s="34"/>
      <c r="BL937" s="34">
        <v>96</v>
      </c>
      <c r="BW937" s="34">
        <v>21</v>
      </c>
      <c r="BX937" s="3" t="s">
        <v>1697</v>
      </c>
    </row>
    <row r="938" spans="1:76" x14ac:dyDescent="0.25">
      <c r="A938" s="66"/>
      <c r="D938" s="67" t="s">
        <v>1698</v>
      </c>
      <c r="E938" s="67" t="s">
        <v>1699</v>
      </c>
      <c r="G938" s="68">
        <v>1.92</v>
      </c>
      <c r="K938" s="59"/>
    </row>
    <row r="939" spans="1:76" x14ac:dyDescent="0.25">
      <c r="A939" s="1" t="s">
        <v>1700</v>
      </c>
      <c r="B939" s="2" t="s">
        <v>84</v>
      </c>
      <c r="C939" s="2" t="s">
        <v>1701</v>
      </c>
      <c r="D939" s="86" t="s">
        <v>1702</v>
      </c>
      <c r="E939" s="81"/>
      <c r="F939" s="2" t="s">
        <v>258</v>
      </c>
      <c r="G939" s="34">
        <v>24</v>
      </c>
      <c r="H939" s="64">
        <v>0</v>
      </c>
      <c r="I939" s="34">
        <f>ROUND(G939*H939,2)</f>
        <v>0</v>
      </c>
      <c r="J939" s="65" t="s">
        <v>133</v>
      </c>
      <c r="K939" s="59"/>
      <c r="Z939" s="34">
        <f>ROUND(IF(AQ939="5",BJ939,0),2)</f>
        <v>0</v>
      </c>
      <c r="AB939" s="34">
        <f>ROUND(IF(AQ939="1",BH939,0),2)</f>
        <v>0</v>
      </c>
      <c r="AC939" s="34">
        <f>ROUND(IF(AQ939="1",BI939,0),2)</f>
        <v>0</v>
      </c>
      <c r="AD939" s="34">
        <f>ROUND(IF(AQ939="7",BH939,0),2)</f>
        <v>0</v>
      </c>
      <c r="AE939" s="34">
        <f>ROUND(IF(AQ939="7",BI939,0),2)</f>
        <v>0</v>
      </c>
      <c r="AF939" s="34">
        <f>ROUND(IF(AQ939="2",BH939,0),2)</f>
        <v>0</v>
      </c>
      <c r="AG939" s="34">
        <f>ROUND(IF(AQ939="2",BI939,0),2)</f>
        <v>0</v>
      </c>
      <c r="AH939" s="34">
        <f>ROUND(IF(AQ939="0",BJ939,0),2)</f>
        <v>0</v>
      </c>
      <c r="AI939" s="46" t="s">
        <v>84</v>
      </c>
      <c r="AJ939" s="34">
        <f>IF(AN939=0,I939,0)</f>
        <v>0</v>
      </c>
      <c r="AK939" s="34">
        <f>IF(AN939=12,I939,0)</f>
        <v>0</v>
      </c>
      <c r="AL939" s="34">
        <f>IF(AN939=21,I939,0)</f>
        <v>0</v>
      </c>
      <c r="AN939" s="34">
        <v>21</v>
      </c>
      <c r="AO939" s="34">
        <f>H939*0</f>
        <v>0</v>
      </c>
      <c r="AP939" s="34">
        <f>H939*(1-0)</f>
        <v>0</v>
      </c>
      <c r="AQ939" s="65" t="s">
        <v>129</v>
      </c>
      <c r="AV939" s="34">
        <f>ROUND(AW939+AX939,2)</f>
        <v>0</v>
      </c>
      <c r="AW939" s="34">
        <f>ROUND(G939*AO939,2)</f>
        <v>0</v>
      </c>
      <c r="AX939" s="34">
        <f>ROUND(G939*AP939,2)</f>
        <v>0</v>
      </c>
      <c r="AY939" s="65" t="s">
        <v>1576</v>
      </c>
      <c r="AZ939" s="65" t="s">
        <v>1550</v>
      </c>
      <c r="BA939" s="46" t="s">
        <v>136</v>
      </c>
      <c r="BC939" s="34">
        <f>AW939+AX939</f>
        <v>0</v>
      </c>
      <c r="BD939" s="34">
        <f>H939/(100-BE939)*100</f>
        <v>0</v>
      </c>
      <c r="BE939" s="34">
        <v>0</v>
      </c>
      <c r="BF939" s="34">
        <f>939</f>
        <v>939</v>
      </c>
      <c r="BH939" s="34">
        <f>G939*AO939</f>
        <v>0</v>
      </c>
      <c r="BI939" s="34">
        <f>G939*AP939</f>
        <v>0</v>
      </c>
      <c r="BJ939" s="34">
        <f>G939*H939</f>
        <v>0</v>
      </c>
      <c r="BK939" s="34"/>
      <c r="BL939" s="34">
        <v>96</v>
      </c>
      <c r="BW939" s="34">
        <v>21</v>
      </c>
      <c r="BX939" s="3" t="s">
        <v>1702</v>
      </c>
    </row>
    <row r="940" spans="1:76" x14ac:dyDescent="0.25">
      <c r="A940" s="66"/>
      <c r="D940" s="67" t="s">
        <v>138</v>
      </c>
      <c r="E940" s="67" t="s">
        <v>1703</v>
      </c>
      <c r="G940" s="68">
        <v>12</v>
      </c>
      <c r="K940" s="59"/>
    </row>
    <row r="941" spans="1:76" x14ac:dyDescent="0.25">
      <c r="A941" s="66"/>
      <c r="D941" s="67" t="s">
        <v>138</v>
      </c>
      <c r="E941" s="67" t="s">
        <v>1704</v>
      </c>
      <c r="G941" s="68">
        <v>12</v>
      </c>
      <c r="K941" s="59"/>
    </row>
    <row r="942" spans="1:76" x14ac:dyDescent="0.25">
      <c r="A942" s="1" t="s">
        <v>1705</v>
      </c>
      <c r="B942" s="2" t="s">
        <v>84</v>
      </c>
      <c r="C942" s="2" t="s">
        <v>1706</v>
      </c>
      <c r="D942" s="86" t="s">
        <v>1707</v>
      </c>
      <c r="E942" s="81"/>
      <c r="F942" s="2" t="s">
        <v>132</v>
      </c>
      <c r="G942" s="34">
        <v>12.96</v>
      </c>
      <c r="H942" s="64">
        <v>0</v>
      </c>
      <c r="I942" s="34">
        <f>ROUND(G942*H942,2)</f>
        <v>0</v>
      </c>
      <c r="J942" s="65" t="s">
        <v>133</v>
      </c>
      <c r="K942" s="59"/>
      <c r="Z942" s="34">
        <f>ROUND(IF(AQ942="5",BJ942,0),2)</f>
        <v>0</v>
      </c>
      <c r="AB942" s="34">
        <f>ROUND(IF(AQ942="1",BH942,0),2)</f>
        <v>0</v>
      </c>
      <c r="AC942" s="34">
        <f>ROUND(IF(AQ942="1",BI942,0),2)</f>
        <v>0</v>
      </c>
      <c r="AD942" s="34">
        <f>ROUND(IF(AQ942="7",BH942,0),2)</f>
        <v>0</v>
      </c>
      <c r="AE942" s="34">
        <f>ROUND(IF(AQ942="7",BI942,0),2)</f>
        <v>0</v>
      </c>
      <c r="AF942" s="34">
        <f>ROUND(IF(AQ942="2",BH942,0),2)</f>
        <v>0</v>
      </c>
      <c r="AG942" s="34">
        <f>ROUND(IF(AQ942="2",BI942,0),2)</f>
        <v>0</v>
      </c>
      <c r="AH942" s="34">
        <f>ROUND(IF(AQ942="0",BJ942,0),2)</f>
        <v>0</v>
      </c>
      <c r="AI942" s="46" t="s">
        <v>84</v>
      </c>
      <c r="AJ942" s="34">
        <f>IF(AN942=0,I942,0)</f>
        <v>0</v>
      </c>
      <c r="AK942" s="34">
        <f>IF(AN942=12,I942,0)</f>
        <v>0</v>
      </c>
      <c r="AL942" s="34">
        <f>IF(AN942=21,I942,0)</f>
        <v>0</v>
      </c>
      <c r="AN942" s="34">
        <v>21</v>
      </c>
      <c r="AO942" s="34">
        <f>H942*0.190571441</f>
        <v>0</v>
      </c>
      <c r="AP942" s="34">
        <f>H942*(1-0.190571441)</f>
        <v>0</v>
      </c>
      <c r="AQ942" s="65" t="s">
        <v>129</v>
      </c>
      <c r="AV942" s="34">
        <f>ROUND(AW942+AX942,2)</f>
        <v>0</v>
      </c>
      <c r="AW942" s="34">
        <f>ROUND(G942*AO942,2)</f>
        <v>0</v>
      </c>
      <c r="AX942" s="34">
        <f>ROUND(G942*AP942,2)</f>
        <v>0</v>
      </c>
      <c r="AY942" s="65" t="s">
        <v>1576</v>
      </c>
      <c r="AZ942" s="65" t="s">
        <v>1550</v>
      </c>
      <c r="BA942" s="46" t="s">
        <v>136</v>
      </c>
      <c r="BC942" s="34">
        <f>AW942+AX942</f>
        <v>0</v>
      </c>
      <c r="BD942" s="34">
        <f>H942/(100-BE942)*100</f>
        <v>0</v>
      </c>
      <c r="BE942" s="34">
        <v>0</v>
      </c>
      <c r="BF942" s="34">
        <f>942</f>
        <v>942</v>
      </c>
      <c r="BH942" s="34">
        <f>G942*AO942</f>
        <v>0</v>
      </c>
      <c r="BI942" s="34">
        <f>G942*AP942</f>
        <v>0</v>
      </c>
      <c r="BJ942" s="34">
        <f>G942*H942</f>
        <v>0</v>
      </c>
      <c r="BK942" s="34"/>
      <c r="BL942" s="34">
        <v>96</v>
      </c>
      <c r="BW942" s="34">
        <v>21</v>
      </c>
      <c r="BX942" s="3" t="s">
        <v>1707</v>
      </c>
    </row>
    <row r="943" spans="1:76" x14ac:dyDescent="0.25">
      <c r="A943" s="66"/>
      <c r="D943" s="67" t="s">
        <v>1708</v>
      </c>
      <c r="E943" s="67" t="s">
        <v>1709</v>
      </c>
      <c r="G943" s="68">
        <v>8.64</v>
      </c>
      <c r="K943" s="59"/>
    </row>
    <row r="944" spans="1:76" x14ac:dyDescent="0.25">
      <c r="A944" s="66"/>
      <c r="D944" s="67" t="s">
        <v>1710</v>
      </c>
      <c r="E944" s="67" t="s">
        <v>1711</v>
      </c>
      <c r="G944" s="68">
        <v>4.32</v>
      </c>
      <c r="K944" s="59"/>
    </row>
    <row r="945" spans="1:76" x14ac:dyDescent="0.25">
      <c r="A945" s="1" t="s">
        <v>1712</v>
      </c>
      <c r="B945" s="2" t="s">
        <v>84</v>
      </c>
      <c r="C945" s="2" t="s">
        <v>1713</v>
      </c>
      <c r="D945" s="86" t="s">
        <v>1714</v>
      </c>
      <c r="E945" s="81"/>
      <c r="F945" s="2" t="s">
        <v>132</v>
      </c>
      <c r="G945" s="34">
        <v>91.784999999999997</v>
      </c>
      <c r="H945" s="64">
        <v>0</v>
      </c>
      <c r="I945" s="34">
        <f>ROUND(G945*H945,2)</f>
        <v>0</v>
      </c>
      <c r="J945" s="65" t="s">
        <v>133</v>
      </c>
      <c r="K945" s="59"/>
      <c r="Z945" s="34">
        <f>ROUND(IF(AQ945="5",BJ945,0),2)</f>
        <v>0</v>
      </c>
      <c r="AB945" s="34">
        <f>ROUND(IF(AQ945="1",BH945,0),2)</f>
        <v>0</v>
      </c>
      <c r="AC945" s="34">
        <f>ROUND(IF(AQ945="1",BI945,0),2)</f>
        <v>0</v>
      </c>
      <c r="AD945" s="34">
        <f>ROUND(IF(AQ945="7",BH945,0),2)</f>
        <v>0</v>
      </c>
      <c r="AE945" s="34">
        <f>ROUND(IF(AQ945="7",BI945,0),2)</f>
        <v>0</v>
      </c>
      <c r="AF945" s="34">
        <f>ROUND(IF(AQ945="2",BH945,0),2)</f>
        <v>0</v>
      </c>
      <c r="AG945" s="34">
        <f>ROUND(IF(AQ945="2",BI945,0),2)</f>
        <v>0</v>
      </c>
      <c r="AH945" s="34">
        <f>ROUND(IF(AQ945="0",BJ945,0),2)</f>
        <v>0</v>
      </c>
      <c r="AI945" s="46" t="s">
        <v>84</v>
      </c>
      <c r="AJ945" s="34">
        <f>IF(AN945=0,I945,0)</f>
        <v>0</v>
      </c>
      <c r="AK945" s="34">
        <f>IF(AN945=12,I945,0)</f>
        <v>0</v>
      </c>
      <c r="AL945" s="34">
        <f>IF(AN945=21,I945,0)</f>
        <v>0</v>
      </c>
      <c r="AN945" s="34">
        <v>21</v>
      </c>
      <c r="AO945" s="34">
        <f>H945*0.164352359</f>
        <v>0</v>
      </c>
      <c r="AP945" s="34">
        <f>H945*(1-0.164352359)</f>
        <v>0</v>
      </c>
      <c r="AQ945" s="65" t="s">
        <v>129</v>
      </c>
      <c r="AV945" s="34">
        <f>ROUND(AW945+AX945,2)</f>
        <v>0</v>
      </c>
      <c r="AW945" s="34">
        <f>ROUND(G945*AO945,2)</f>
        <v>0</v>
      </c>
      <c r="AX945" s="34">
        <f>ROUND(G945*AP945,2)</f>
        <v>0</v>
      </c>
      <c r="AY945" s="65" t="s">
        <v>1576</v>
      </c>
      <c r="AZ945" s="65" t="s">
        <v>1550</v>
      </c>
      <c r="BA945" s="46" t="s">
        <v>136</v>
      </c>
      <c r="BC945" s="34">
        <f>AW945+AX945</f>
        <v>0</v>
      </c>
      <c r="BD945" s="34">
        <f>H945/(100-BE945)*100</f>
        <v>0</v>
      </c>
      <c r="BE945" s="34">
        <v>0</v>
      </c>
      <c r="BF945" s="34">
        <f>945</f>
        <v>945</v>
      </c>
      <c r="BH945" s="34">
        <f>G945*AO945</f>
        <v>0</v>
      </c>
      <c r="BI945" s="34">
        <f>G945*AP945</f>
        <v>0</v>
      </c>
      <c r="BJ945" s="34">
        <f>G945*H945</f>
        <v>0</v>
      </c>
      <c r="BK945" s="34"/>
      <c r="BL945" s="34">
        <v>96</v>
      </c>
      <c r="BW945" s="34">
        <v>21</v>
      </c>
      <c r="BX945" s="3" t="s">
        <v>1714</v>
      </c>
    </row>
    <row r="946" spans="1:76" x14ac:dyDescent="0.25">
      <c r="A946" s="66"/>
      <c r="D946" s="67" t="s">
        <v>1715</v>
      </c>
      <c r="E946" s="67" t="s">
        <v>1716</v>
      </c>
      <c r="G946" s="68">
        <v>7.2</v>
      </c>
      <c r="K946" s="59"/>
    </row>
    <row r="947" spans="1:76" x14ac:dyDescent="0.25">
      <c r="A947" s="66"/>
      <c r="D947" s="67" t="s">
        <v>1717</v>
      </c>
      <c r="E947" s="67" t="s">
        <v>1718</v>
      </c>
      <c r="G947" s="68">
        <v>5.76</v>
      </c>
      <c r="K947" s="59"/>
    </row>
    <row r="948" spans="1:76" x14ac:dyDescent="0.25">
      <c r="A948" s="66"/>
      <c r="D948" s="67" t="s">
        <v>1719</v>
      </c>
      <c r="E948" s="67" t="s">
        <v>1720</v>
      </c>
      <c r="G948" s="68">
        <v>28.8</v>
      </c>
      <c r="K948" s="59"/>
    </row>
    <row r="949" spans="1:76" x14ac:dyDescent="0.25">
      <c r="A949" s="66"/>
      <c r="D949" s="67" t="s">
        <v>1721</v>
      </c>
      <c r="E949" s="67" t="s">
        <v>1722</v>
      </c>
      <c r="G949" s="68">
        <v>50.024999999999999</v>
      </c>
      <c r="K949" s="59"/>
    </row>
    <row r="950" spans="1:76" x14ac:dyDescent="0.25">
      <c r="A950" s="1" t="s">
        <v>1723</v>
      </c>
      <c r="B950" s="2" t="s">
        <v>84</v>
      </c>
      <c r="C950" s="2" t="s">
        <v>1724</v>
      </c>
      <c r="D950" s="86" t="s">
        <v>1725</v>
      </c>
      <c r="E950" s="81"/>
      <c r="F950" s="2" t="s">
        <v>258</v>
      </c>
      <c r="G950" s="34">
        <v>35</v>
      </c>
      <c r="H950" s="64">
        <v>0</v>
      </c>
      <c r="I950" s="34">
        <f>ROUND(G950*H950,2)</f>
        <v>0</v>
      </c>
      <c r="J950" s="65" t="s">
        <v>133</v>
      </c>
      <c r="K950" s="59"/>
      <c r="Z950" s="34">
        <f>ROUND(IF(AQ950="5",BJ950,0),2)</f>
        <v>0</v>
      </c>
      <c r="AB950" s="34">
        <f>ROUND(IF(AQ950="1",BH950,0),2)</f>
        <v>0</v>
      </c>
      <c r="AC950" s="34">
        <f>ROUND(IF(AQ950="1",BI950,0),2)</f>
        <v>0</v>
      </c>
      <c r="AD950" s="34">
        <f>ROUND(IF(AQ950="7",BH950,0),2)</f>
        <v>0</v>
      </c>
      <c r="AE950" s="34">
        <f>ROUND(IF(AQ950="7",BI950,0),2)</f>
        <v>0</v>
      </c>
      <c r="AF950" s="34">
        <f>ROUND(IF(AQ950="2",BH950,0),2)</f>
        <v>0</v>
      </c>
      <c r="AG950" s="34">
        <f>ROUND(IF(AQ950="2",BI950,0),2)</f>
        <v>0</v>
      </c>
      <c r="AH950" s="34">
        <f>ROUND(IF(AQ950="0",BJ950,0),2)</f>
        <v>0</v>
      </c>
      <c r="AI950" s="46" t="s">
        <v>84</v>
      </c>
      <c r="AJ950" s="34">
        <f>IF(AN950=0,I950,0)</f>
        <v>0</v>
      </c>
      <c r="AK950" s="34">
        <f>IF(AN950=12,I950,0)</f>
        <v>0</v>
      </c>
      <c r="AL950" s="34">
        <f>IF(AN950=21,I950,0)</f>
        <v>0</v>
      </c>
      <c r="AN950" s="34">
        <v>21</v>
      </c>
      <c r="AO950" s="34">
        <f>H950*0</f>
        <v>0</v>
      </c>
      <c r="AP950" s="34">
        <f>H950*(1-0)</f>
        <v>0</v>
      </c>
      <c r="AQ950" s="65" t="s">
        <v>129</v>
      </c>
      <c r="AV950" s="34">
        <f>ROUND(AW950+AX950,2)</f>
        <v>0</v>
      </c>
      <c r="AW950" s="34">
        <f>ROUND(G950*AO950,2)</f>
        <v>0</v>
      </c>
      <c r="AX950" s="34">
        <f>ROUND(G950*AP950,2)</f>
        <v>0</v>
      </c>
      <c r="AY950" s="65" t="s">
        <v>1576</v>
      </c>
      <c r="AZ950" s="65" t="s">
        <v>1550</v>
      </c>
      <c r="BA950" s="46" t="s">
        <v>136</v>
      </c>
      <c r="BC950" s="34">
        <f>AW950+AX950</f>
        <v>0</v>
      </c>
      <c r="BD950" s="34">
        <f>H950/(100-BE950)*100</f>
        <v>0</v>
      </c>
      <c r="BE950" s="34">
        <v>0</v>
      </c>
      <c r="BF950" s="34">
        <f>950</f>
        <v>950</v>
      </c>
      <c r="BH950" s="34">
        <f>G950*AO950</f>
        <v>0</v>
      </c>
      <c r="BI950" s="34">
        <f>G950*AP950</f>
        <v>0</v>
      </c>
      <c r="BJ950" s="34">
        <f>G950*H950</f>
        <v>0</v>
      </c>
      <c r="BK950" s="34"/>
      <c r="BL950" s="34">
        <v>96</v>
      </c>
      <c r="BW950" s="34">
        <v>21</v>
      </c>
      <c r="BX950" s="3" t="s">
        <v>1725</v>
      </c>
    </row>
    <row r="951" spans="1:76" x14ac:dyDescent="0.25">
      <c r="A951" s="66"/>
      <c r="D951" s="67" t="s">
        <v>138</v>
      </c>
      <c r="E951" s="67" t="s">
        <v>1726</v>
      </c>
      <c r="G951" s="68">
        <v>12</v>
      </c>
      <c r="K951" s="59"/>
    </row>
    <row r="952" spans="1:76" x14ac:dyDescent="0.25">
      <c r="A952" s="66"/>
      <c r="D952" s="67" t="s">
        <v>289</v>
      </c>
      <c r="E952" s="67" t="s">
        <v>1727</v>
      </c>
      <c r="G952" s="68">
        <v>23</v>
      </c>
      <c r="K952" s="59"/>
    </row>
    <row r="953" spans="1:76" x14ac:dyDescent="0.25">
      <c r="A953" s="1" t="s">
        <v>1728</v>
      </c>
      <c r="B953" s="2" t="s">
        <v>84</v>
      </c>
      <c r="C953" s="2" t="s">
        <v>1729</v>
      </c>
      <c r="D953" s="86" t="s">
        <v>1730</v>
      </c>
      <c r="E953" s="81"/>
      <c r="F953" s="2" t="s">
        <v>258</v>
      </c>
      <c r="G953" s="34">
        <v>2</v>
      </c>
      <c r="H953" s="64">
        <v>0</v>
      </c>
      <c r="I953" s="34">
        <f>ROUND(G953*H953,2)</f>
        <v>0</v>
      </c>
      <c r="J953" s="65" t="s">
        <v>133</v>
      </c>
      <c r="K953" s="59"/>
      <c r="Z953" s="34">
        <f>ROUND(IF(AQ953="5",BJ953,0),2)</f>
        <v>0</v>
      </c>
      <c r="AB953" s="34">
        <f>ROUND(IF(AQ953="1",BH953,0),2)</f>
        <v>0</v>
      </c>
      <c r="AC953" s="34">
        <f>ROUND(IF(AQ953="1",BI953,0),2)</f>
        <v>0</v>
      </c>
      <c r="AD953" s="34">
        <f>ROUND(IF(AQ953="7",BH953,0),2)</f>
        <v>0</v>
      </c>
      <c r="AE953" s="34">
        <f>ROUND(IF(AQ953="7",BI953,0),2)</f>
        <v>0</v>
      </c>
      <c r="AF953" s="34">
        <f>ROUND(IF(AQ953="2",BH953,0),2)</f>
        <v>0</v>
      </c>
      <c r="AG953" s="34">
        <f>ROUND(IF(AQ953="2",BI953,0),2)</f>
        <v>0</v>
      </c>
      <c r="AH953" s="34">
        <f>ROUND(IF(AQ953="0",BJ953,0),2)</f>
        <v>0</v>
      </c>
      <c r="AI953" s="46" t="s">
        <v>84</v>
      </c>
      <c r="AJ953" s="34">
        <f>IF(AN953=0,I953,0)</f>
        <v>0</v>
      </c>
      <c r="AK953" s="34">
        <f>IF(AN953=12,I953,0)</f>
        <v>0</v>
      </c>
      <c r="AL953" s="34">
        <f>IF(AN953=21,I953,0)</f>
        <v>0</v>
      </c>
      <c r="AN953" s="34">
        <v>21</v>
      </c>
      <c r="AO953" s="34">
        <f>H953*0</f>
        <v>0</v>
      </c>
      <c r="AP953" s="34">
        <f>H953*(1-0)</f>
        <v>0</v>
      </c>
      <c r="AQ953" s="65" t="s">
        <v>129</v>
      </c>
      <c r="AV953" s="34">
        <f>ROUND(AW953+AX953,2)</f>
        <v>0</v>
      </c>
      <c r="AW953" s="34">
        <f>ROUND(G953*AO953,2)</f>
        <v>0</v>
      </c>
      <c r="AX953" s="34">
        <f>ROUND(G953*AP953,2)</f>
        <v>0</v>
      </c>
      <c r="AY953" s="65" t="s">
        <v>1576</v>
      </c>
      <c r="AZ953" s="65" t="s">
        <v>1550</v>
      </c>
      <c r="BA953" s="46" t="s">
        <v>136</v>
      </c>
      <c r="BC953" s="34">
        <f>AW953+AX953</f>
        <v>0</v>
      </c>
      <c r="BD953" s="34">
        <f>H953/(100-BE953)*100</f>
        <v>0</v>
      </c>
      <c r="BE953" s="34">
        <v>0</v>
      </c>
      <c r="BF953" s="34">
        <f>953</f>
        <v>953</v>
      </c>
      <c r="BH953" s="34">
        <f>G953*AO953</f>
        <v>0</v>
      </c>
      <c r="BI953" s="34">
        <f>G953*AP953</f>
        <v>0</v>
      </c>
      <c r="BJ953" s="34">
        <f>G953*H953</f>
        <v>0</v>
      </c>
      <c r="BK953" s="34"/>
      <c r="BL953" s="34">
        <v>96</v>
      </c>
      <c r="BW953" s="34">
        <v>21</v>
      </c>
      <c r="BX953" s="3" t="s">
        <v>1730</v>
      </c>
    </row>
    <row r="954" spans="1:76" x14ac:dyDescent="0.25">
      <c r="A954" s="66"/>
      <c r="D954" s="67" t="s">
        <v>140</v>
      </c>
      <c r="E954" s="67" t="s">
        <v>4</v>
      </c>
      <c r="G954" s="68">
        <v>2</v>
      </c>
      <c r="K954" s="59"/>
    </row>
    <row r="955" spans="1:76" x14ac:dyDescent="0.25">
      <c r="A955" s="1" t="s">
        <v>1731</v>
      </c>
      <c r="B955" s="2" t="s">
        <v>84</v>
      </c>
      <c r="C955" s="2" t="s">
        <v>1732</v>
      </c>
      <c r="D955" s="86" t="s">
        <v>1733</v>
      </c>
      <c r="E955" s="81"/>
      <c r="F955" s="2" t="s">
        <v>132</v>
      </c>
      <c r="G955" s="34">
        <v>84.612499999999997</v>
      </c>
      <c r="H955" s="64">
        <v>0</v>
      </c>
      <c r="I955" s="34">
        <f>ROUND(G955*H955,2)</f>
        <v>0</v>
      </c>
      <c r="J955" s="65" t="s">
        <v>133</v>
      </c>
      <c r="K955" s="59"/>
      <c r="Z955" s="34">
        <f>ROUND(IF(AQ955="5",BJ955,0),2)</f>
        <v>0</v>
      </c>
      <c r="AB955" s="34">
        <f>ROUND(IF(AQ955="1",BH955,0),2)</f>
        <v>0</v>
      </c>
      <c r="AC955" s="34">
        <f>ROUND(IF(AQ955="1",BI955,0),2)</f>
        <v>0</v>
      </c>
      <c r="AD955" s="34">
        <f>ROUND(IF(AQ955="7",BH955,0),2)</f>
        <v>0</v>
      </c>
      <c r="AE955" s="34">
        <f>ROUND(IF(AQ955="7",BI955,0),2)</f>
        <v>0</v>
      </c>
      <c r="AF955" s="34">
        <f>ROUND(IF(AQ955="2",BH955,0),2)</f>
        <v>0</v>
      </c>
      <c r="AG955" s="34">
        <f>ROUND(IF(AQ955="2",BI955,0),2)</f>
        <v>0</v>
      </c>
      <c r="AH955" s="34">
        <f>ROUND(IF(AQ955="0",BJ955,0),2)</f>
        <v>0</v>
      </c>
      <c r="AI955" s="46" t="s">
        <v>84</v>
      </c>
      <c r="AJ955" s="34">
        <f>IF(AN955=0,I955,0)</f>
        <v>0</v>
      </c>
      <c r="AK955" s="34">
        <f>IF(AN955=12,I955,0)</f>
        <v>0</v>
      </c>
      <c r="AL955" s="34">
        <f>IF(AN955=21,I955,0)</f>
        <v>0</v>
      </c>
      <c r="AN955" s="34">
        <v>21</v>
      </c>
      <c r="AO955" s="34">
        <f>H955*0.074043062</f>
        <v>0</v>
      </c>
      <c r="AP955" s="34">
        <f>H955*(1-0.074043062)</f>
        <v>0</v>
      </c>
      <c r="AQ955" s="65" t="s">
        <v>129</v>
      </c>
      <c r="AV955" s="34">
        <f>ROUND(AW955+AX955,2)</f>
        <v>0</v>
      </c>
      <c r="AW955" s="34">
        <f>ROUND(G955*AO955,2)</f>
        <v>0</v>
      </c>
      <c r="AX955" s="34">
        <f>ROUND(G955*AP955,2)</f>
        <v>0</v>
      </c>
      <c r="AY955" s="65" t="s">
        <v>1576</v>
      </c>
      <c r="AZ955" s="65" t="s">
        <v>1550</v>
      </c>
      <c r="BA955" s="46" t="s">
        <v>136</v>
      </c>
      <c r="BC955" s="34">
        <f>AW955+AX955</f>
        <v>0</v>
      </c>
      <c r="BD955" s="34">
        <f>H955/(100-BE955)*100</f>
        <v>0</v>
      </c>
      <c r="BE955" s="34">
        <v>0</v>
      </c>
      <c r="BF955" s="34">
        <f>955</f>
        <v>955</v>
      </c>
      <c r="BH955" s="34">
        <f>G955*AO955</f>
        <v>0</v>
      </c>
      <c r="BI955" s="34">
        <f>G955*AP955</f>
        <v>0</v>
      </c>
      <c r="BJ955" s="34">
        <f>G955*H955</f>
        <v>0</v>
      </c>
      <c r="BK955" s="34"/>
      <c r="BL955" s="34">
        <v>96</v>
      </c>
      <c r="BW955" s="34">
        <v>21</v>
      </c>
      <c r="BX955" s="3" t="s">
        <v>1733</v>
      </c>
    </row>
    <row r="956" spans="1:76" x14ac:dyDescent="0.25">
      <c r="A956" s="66"/>
      <c r="D956" s="67" t="s">
        <v>1734</v>
      </c>
      <c r="E956" s="67" t="s">
        <v>1735</v>
      </c>
      <c r="G956" s="68">
        <v>23.4</v>
      </c>
      <c r="K956" s="59"/>
    </row>
    <row r="957" spans="1:76" x14ac:dyDescent="0.25">
      <c r="A957" s="66"/>
      <c r="D957" s="67" t="s">
        <v>1736</v>
      </c>
      <c r="E957" s="67" t="s">
        <v>4</v>
      </c>
      <c r="G957" s="68">
        <v>2</v>
      </c>
      <c r="K957" s="59"/>
    </row>
    <row r="958" spans="1:76" x14ac:dyDescent="0.25">
      <c r="A958" s="66"/>
      <c r="D958" s="67" t="s">
        <v>1737</v>
      </c>
      <c r="E958" s="67" t="s">
        <v>1738</v>
      </c>
      <c r="G958" s="68">
        <v>2.8125</v>
      </c>
      <c r="K958" s="59"/>
    </row>
    <row r="959" spans="1:76" x14ac:dyDescent="0.25">
      <c r="A959" s="66"/>
      <c r="D959" s="67" t="s">
        <v>1739</v>
      </c>
      <c r="E959" s="67" t="s">
        <v>1740</v>
      </c>
      <c r="G959" s="68">
        <v>4</v>
      </c>
      <c r="K959" s="59"/>
    </row>
    <row r="960" spans="1:76" x14ac:dyDescent="0.25">
      <c r="A960" s="66"/>
      <c r="D960" s="67" t="s">
        <v>1741</v>
      </c>
      <c r="E960" s="67" t="s">
        <v>1742</v>
      </c>
      <c r="G960" s="68">
        <v>10.8</v>
      </c>
      <c r="K960" s="59"/>
    </row>
    <row r="961" spans="1:76" x14ac:dyDescent="0.25">
      <c r="A961" s="66"/>
      <c r="D961" s="67" t="s">
        <v>1743</v>
      </c>
      <c r="E961" s="67" t="s">
        <v>476</v>
      </c>
      <c r="G961" s="68">
        <v>36</v>
      </c>
      <c r="K961" s="59"/>
    </row>
    <row r="962" spans="1:76" x14ac:dyDescent="0.25">
      <c r="A962" s="66"/>
      <c r="D962" s="67" t="s">
        <v>1744</v>
      </c>
      <c r="E962" s="67" t="s">
        <v>1745</v>
      </c>
      <c r="G962" s="68">
        <v>2.8</v>
      </c>
      <c r="K962" s="59"/>
    </row>
    <row r="963" spans="1:76" x14ac:dyDescent="0.25">
      <c r="A963" s="66"/>
      <c r="D963" s="67" t="s">
        <v>1744</v>
      </c>
      <c r="E963" s="67" t="s">
        <v>1746</v>
      </c>
      <c r="G963" s="68">
        <v>2.8</v>
      </c>
      <c r="K963" s="59"/>
    </row>
    <row r="964" spans="1:76" x14ac:dyDescent="0.25">
      <c r="A964" s="1" t="s">
        <v>1747</v>
      </c>
      <c r="B964" s="2" t="s">
        <v>84</v>
      </c>
      <c r="C964" s="2" t="s">
        <v>1748</v>
      </c>
      <c r="D964" s="86" t="s">
        <v>1749</v>
      </c>
      <c r="E964" s="81"/>
      <c r="F964" s="2" t="s">
        <v>258</v>
      </c>
      <c r="G964" s="34">
        <v>48</v>
      </c>
      <c r="H964" s="64">
        <v>0</v>
      </c>
      <c r="I964" s="34">
        <f>ROUND(G964*H964,2)</f>
        <v>0</v>
      </c>
      <c r="J964" s="65" t="s">
        <v>133</v>
      </c>
      <c r="K964" s="59"/>
      <c r="Z964" s="34">
        <f>ROUND(IF(AQ964="5",BJ964,0),2)</f>
        <v>0</v>
      </c>
      <c r="AB964" s="34">
        <f>ROUND(IF(AQ964="1",BH964,0),2)</f>
        <v>0</v>
      </c>
      <c r="AC964" s="34">
        <f>ROUND(IF(AQ964="1",BI964,0),2)</f>
        <v>0</v>
      </c>
      <c r="AD964" s="34">
        <f>ROUND(IF(AQ964="7",BH964,0),2)</f>
        <v>0</v>
      </c>
      <c r="AE964" s="34">
        <f>ROUND(IF(AQ964="7",BI964,0),2)</f>
        <v>0</v>
      </c>
      <c r="AF964" s="34">
        <f>ROUND(IF(AQ964="2",BH964,0),2)</f>
        <v>0</v>
      </c>
      <c r="AG964" s="34">
        <f>ROUND(IF(AQ964="2",BI964,0),2)</f>
        <v>0</v>
      </c>
      <c r="AH964" s="34">
        <f>ROUND(IF(AQ964="0",BJ964,0),2)</f>
        <v>0</v>
      </c>
      <c r="AI964" s="46" t="s">
        <v>84</v>
      </c>
      <c r="AJ964" s="34">
        <f>IF(AN964=0,I964,0)</f>
        <v>0</v>
      </c>
      <c r="AK964" s="34">
        <f>IF(AN964=12,I964,0)</f>
        <v>0</v>
      </c>
      <c r="AL964" s="34">
        <f>IF(AN964=21,I964,0)</f>
        <v>0</v>
      </c>
      <c r="AN964" s="34">
        <v>21</v>
      </c>
      <c r="AO964" s="34">
        <f>H964*0</f>
        <v>0</v>
      </c>
      <c r="AP964" s="34">
        <f>H964*(1-0)</f>
        <v>0</v>
      </c>
      <c r="AQ964" s="65" t="s">
        <v>129</v>
      </c>
      <c r="AV964" s="34">
        <f>ROUND(AW964+AX964,2)</f>
        <v>0</v>
      </c>
      <c r="AW964" s="34">
        <f>ROUND(G964*AO964,2)</f>
        <v>0</v>
      </c>
      <c r="AX964" s="34">
        <f>ROUND(G964*AP964,2)</f>
        <v>0</v>
      </c>
      <c r="AY964" s="65" t="s">
        <v>1576</v>
      </c>
      <c r="AZ964" s="65" t="s">
        <v>1550</v>
      </c>
      <c r="BA964" s="46" t="s">
        <v>136</v>
      </c>
      <c r="BC964" s="34">
        <f>AW964+AX964</f>
        <v>0</v>
      </c>
      <c r="BD964" s="34">
        <f>H964/(100-BE964)*100</f>
        <v>0</v>
      </c>
      <c r="BE964" s="34">
        <v>0</v>
      </c>
      <c r="BF964" s="34">
        <f>964</f>
        <v>964</v>
      </c>
      <c r="BH964" s="34">
        <f>G964*AO964</f>
        <v>0</v>
      </c>
      <c r="BI964" s="34">
        <f>G964*AP964</f>
        <v>0</v>
      </c>
      <c r="BJ964" s="34">
        <f>G964*H964</f>
        <v>0</v>
      </c>
      <c r="BK964" s="34"/>
      <c r="BL964" s="34">
        <v>96</v>
      </c>
      <c r="BW964" s="34">
        <v>21</v>
      </c>
      <c r="BX964" s="3" t="s">
        <v>1749</v>
      </c>
    </row>
    <row r="965" spans="1:76" x14ac:dyDescent="0.25">
      <c r="A965" s="66"/>
      <c r="D965" s="67" t="s">
        <v>137</v>
      </c>
      <c r="E965" s="67" t="s">
        <v>474</v>
      </c>
      <c r="G965" s="68">
        <v>16</v>
      </c>
      <c r="K965" s="59"/>
    </row>
    <row r="966" spans="1:76" x14ac:dyDescent="0.25">
      <c r="A966" s="66"/>
      <c r="D966" s="67" t="s">
        <v>182</v>
      </c>
      <c r="E966" s="67" t="s">
        <v>4</v>
      </c>
      <c r="G966" s="68">
        <v>8</v>
      </c>
      <c r="K966" s="59"/>
    </row>
    <row r="967" spans="1:76" x14ac:dyDescent="0.25">
      <c r="A967" s="66"/>
      <c r="D967" s="67" t="s">
        <v>273</v>
      </c>
      <c r="E967" s="67" t="s">
        <v>476</v>
      </c>
      <c r="G967" s="68">
        <v>20</v>
      </c>
      <c r="K967" s="59"/>
    </row>
    <row r="968" spans="1:76" x14ac:dyDescent="0.25">
      <c r="A968" s="66"/>
      <c r="D968" s="67" t="s">
        <v>161</v>
      </c>
      <c r="E968" s="67" t="s">
        <v>1750</v>
      </c>
      <c r="G968" s="68">
        <v>4</v>
      </c>
      <c r="K968" s="59"/>
    </row>
    <row r="969" spans="1:76" x14ac:dyDescent="0.25">
      <c r="A969" s="1" t="s">
        <v>1751</v>
      </c>
      <c r="B969" s="2" t="s">
        <v>84</v>
      </c>
      <c r="C969" s="2" t="s">
        <v>1752</v>
      </c>
      <c r="D969" s="86" t="s">
        <v>1753</v>
      </c>
      <c r="E969" s="81"/>
      <c r="F969" s="2" t="s">
        <v>143</v>
      </c>
      <c r="G969" s="34">
        <v>6.25E-2</v>
      </c>
      <c r="H969" s="64">
        <v>0</v>
      </c>
      <c r="I969" s="34">
        <f>ROUND(G969*H969,2)</f>
        <v>0</v>
      </c>
      <c r="J969" s="65" t="s">
        <v>133</v>
      </c>
      <c r="K969" s="59"/>
      <c r="Z969" s="34">
        <f>ROUND(IF(AQ969="5",BJ969,0),2)</f>
        <v>0</v>
      </c>
      <c r="AB969" s="34">
        <f>ROUND(IF(AQ969="1",BH969,0),2)</f>
        <v>0</v>
      </c>
      <c r="AC969" s="34">
        <f>ROUND(IF(AQ969="1",BI969,0),2)</f>
        <v>0</v>
      </c>
      <c r="AD969" s="34">
        <f>ROUND(IF(AQ969="7",BH969,0),2)</f>
        <v>0</v>
      </c>
      <c r="AE969" s="34">
        <f>ROUND(IF(AQ969="7",BI969,0),2)</f>
        <v>0</v>
      </c>
      <c r="AF969" s="34">
        <f>ROUND(IF(AQ969="2",BH969,0),2)</f>
        <v>0</v>
      </c>
      <c r="AG969" s="34">
        <f>ROUND(IF(AQ969="2",BI969,0),2)</f>
        <v>0</v>
      </c>
      <c r="AH969" s="34">
        <f>ROUND(IF(AQ969="0",BJ969,0),2)</f>
        <v>0</v>
      </c>
      <c r="AI969" s="46" t="s">
        <v>84</v>
      </c>
      <c r="AJ969" s="34">
        <f>IF(AN969=0,I969,0)</f>
        <v>0</v>
      </c>
      <c r="AK969" s="34">
        <f>IF(AN969=12,I969,0)</f>
        <v>0</v>
      </c>
      <c r="AL969" s="34">
        <f>IF(AN969=21,I969,0)</f>
        <v>0</v>
      </c>
      <c r="AN969" s="34">
        <v>21</v>
      </c>
      <c r="AO969" s="34">
        <f>H969*0</f>
        <v>0</v>
      </c>
      <c r="AP969" s="34">
        <f>H969*(1-0)</f>
        <v>0</v>
      </c>
      <c r="AQ969" s="65" t="s">
        <v>129</v>
      </c>
      <c r="AV969" s="34">
        <f>ROUND(AW969+AX969,2)</f>
        <v>0</v>
      </c>
      <c r="AW969" s="34">
        <f>ROUND(G969*AO969,2)</f>
        <v>0</v>
      </c>
      <c r="AX969" s="34">
        <f>ROUND(G969*AP969,2)</f>
        <v>0</v>
      </c>
      <c r="AY969" s="65" t="s">
        <v>1576</v>
      </c>
      <c r="AZ969" s="65" t="s">
        <v>1550</v>
      </c>
      <c r="BA969" s="46" t="s">
        <v>136</v>
      </c>
      <c r="BC969" s="34">
        <f>AW969+AX969</f>
        <v>0</v>
      </c>
      <c r="BD969" s="34">
        <f>H969/(100-BE969)*100</f>
        <v>0</v>
      </c>
      <c r="BE969" s="34">
        <v>0</v>
      </c>
      <c r="BF969" s="34">
        <f>969</f>
        <v>969</v>
      </c>
      <c r="BH969" s="34">
        <f>G969*AO969</f>
        <v>0</v>
      </c>
      <c r="BI969" s="34">
        <f>G969*AP969</f>
        <v>0</v>
      </c>
      <c r="BJ969" s="34">
        <f>G969*H969</f>
        <v>0</v>
      </c>
      <c r="BK969" s="34"/>
      <c r="BL969" s="34">
        <v>96</v>
      </c>
      <c r="BW969" s="34">
        <v>21</v>
      </c>
      <c r="BX969" s="3" t="s">
        <v>1753</v>
      </c>
    </row>
    <row r="970" spans="1:76" x14ac:dyDescent="0.25">
      <c r="A970" s="66"/>
      <c r="D970" s="67" t="s">
        <v>1754</v>
      </c>
      <c r="E970" s="67" t="s">
        <v>1755</v>
      </c>
      <c r="G970" s="68">
        <v>3.125E-2</v>
      </c>
      <c r="K970" s="59"/>
    </row>
    <row r="971" spans="1:76" x14ac:dyDescent="0.25">
      <c r="A971" s="66"/>
      <c r="D971" s="67" t="s">
        <v>1754</v>
      </c>
      <c r="E971" s="67" t="s">
        <v>4</v>
      </c>
      <c r="G971" s="68">
        <v>3.125E-2</v>
      </c>
      <c r="K971" s="59"/>
    </row>
    <row r="972" spans="1:76" x14ac:dyDescent="0.25">
      <c r="A972" s="1" t="s">
        <v>1756</v>
      </c>
      <c r="B972" s="2" t="s">
        <v>84</v>
      </c>
      <c r="C972" s="2" t="s">
        <v>1757</v>
      </c>
      <c r="D972" s="86" t="s">
        <v>1758</v>
      </c>
      <c r="E972" s="81"/>
      <c r="F972" s="2" t="s">
        <v>143</v>
      </c>
      <c r="G972" s="34">
        <v>0.63124999999999998</v>
      </c>
      <c r="H972" s="64">
        <v>0</v>
      </c>
      <c r="I972" s="34">
        <f>ROUND(G972*H972,2)</f>
        <v>0</v>
      </c>
      <c r="J972" s="65" t="s">
        <v>133</v>
      </c>
      <c r="K972" s="59"/>
      <c r="Z972" s="34">
        <f>ROUND(IF(AQ972="5",BJ972,0),2)</f>
        <v>0</v>
      </c>
      <c r="AB972" s="34">
        <f>ROUND(IF(AQ972="1",BH972,0),2)</f>
        <v>0</v>
      </c>
      <c r="AC972" s="34">
        <f>ROUND(IF(AQ972="1",BI972,0),2)</f>
        <v>0</v>
      </c>
      <c r="AD972" s="34">
        <f>ROUND(IF(AQ972="7",BH972,0),2)</f>
        <v>0</v>
      </c>
      <c r="AE972" s="34">
        <f>ROUND(IF(AQ972="7",BI972,0),2)</f>
        <v>0</v>
      </c>
      <c r="AF972" s="34">
        <f>ROUND(IF(AQ972="2",BH972,0),2)</f>
        <v>0</v>
      </c>
      <c r="AG972" s="34">
        <f>ROUND(IF(AQ972="2",BI972,0),2)</f>
        <v>0</v>
      </c>
      <c r="AH972" s="34">
        <f>ROUND(IF(AQ972="0",BJ972,0),2)</f>
        <v>0</v>
      </c>
      <c r="AI972" s="46" t="s">
        <v>84</v>
      </c>
      <c r="AJ972" s="34">
        <f>IF(AN972=0,I972,0)</f>
        <v>0</v>
      </c>
      <c r="AK972" s="34">
        <f>IF(AN972=12,I972,0)</f>
        <v>0</v>
      </c>
      <c r="AL972" s="34">
        <f>IF(AN972=21,I972,0)</f>
        <v>0</v>
      </c>
      <c r="AN972" s="34">
        <v>21</v>
      </c>
      <c r="AO972" s="34">
        <f>H972*0</f>
        <v>0</v>
      </c>
      <c r="AP972" s="34">
        <f>H972*(1-0)</f>
        <v>0</v>
      </c>
      <c r="AQ972" s="65" t="s">
        <v>129</v>
      </c>
      <c r="AV972" s="34">
        <f>ROUND(AW972+AX972,2)</f>
        <v>0</v>
      </c>
      <c r="AW972" s="34">
        <f>ROUND(G972*AO972,2)</f>
        <v>0</v>
      </c>
      <c r="AX972" s="34">
        <f>ROUND(G972*AP972,2)</f>
        <v>0</v>
      </c>
      <c r="AY972" s="65" t="s">
        <v>1576</v>
      </c>
      <c r="AZ972" s="65" t="s">
        <v>1550</v>
      </c>
      <c r="BA972" s="46" t="s">
        <v>136</v>
      </c>
      <c r="BC972" s="34">
        <f>AW972+AX972</f>
        <v>0</v>
      </c>
      <c r="BD972" s="34">
        <f>H972/(100-BE972)*100</f>
        <v>0</v>
      </c>
      <c r="BE972" s="34">
        <v>0</v>
      </c>
      <c r="BF972" s="34">
        <f>972</f>
        <v>972</v>
      </c>
      <c r="BH972" s="34">
        <f>G972*AO972</f>
        <v>0</v>
      </c>
      <c r="BI972" s="34">
        <f>G972*AP972</f>
        <v>0</v>
      </c>
      <c r="BJ972" s="34">
        <f>G972*H972</f>
        <v>0</v>
      </c>
      <c r="BK972" s="34"/>
      <c r="BL972" s="34">
        <v>96</v>
      </c>
      <c r="BW972" s="34">
        <v>21</v>
      </c>
      <c r="BX972" s="3" t="s">
        <v>1758</v>
      </c>
    </row>
    <row r="973" spans="1:76" x14ac:dyDescent="0.25">
      <c r="A973" s="66"/>
      <c r="D973" s="67" t="s">
        <v>1759</v>
      </c>
      <c r="E973" s="67" t="s">
        <v>1760</v>
      </c>
      <c r="G973" s="68">
        <v>0.58625000000000005</v>
      </c>
      <c r="K973" s="59"/>
    </row>
    <row r="974" spans="1:76" x14ac:dyDescent="0.25">
      <c r="A974" s="66"/>
      <c r="D974" s="67" t="s">
        <v>1761</v>
      </c>
      <c r="E974" s="67" t="s">
        <v>4</v>
      </c>
      <c r="G974" s="68">
        <v>-0.13500000000000001</v>
      </c>
      <c r="K974" s="59"/>
    </row>
    <row r="975" spans="1:76" x14ac:dyDescent="0.25">
      <c r="A975" s="66"/>
      <c r="D975" s="67" t="s">
        <v>1762</v>
      </c>
      <c r="E975" s="67" t="s">
        <v>1763</v>
      </c>
      <c r="G975" s="68">
        <v>0.315</v>
      </c>
      <c r="K975" s="59"/>
    </row>
    <row r="976" spans="1:76" x14ac:dyDescent="0.25">
      <c r="A976" s="66"/>
      <c r="D976" s="67" t="s">
        <v>1761</v>
      </c>
      <c r="E976" s="67" t="s">
        <v>4</v>
      </c>
      <c r="G976" s="68">
        <v>-0.13500000000000001</v>
      </c>
      <c r="K976" s="59"/>
    </row>
    <row r="977" spans="1:76" x14ac:dyDescent="0.25">
      <c r="A977" s="1" t="s">
        <v>1764</v>
      </c>
      <c r="B977" s="2" t="s">
        <v>84</v>
      </c>
      <c r="C977" s="2" t="s">
        <v>1765</v>
      </c>
      <c r="D977" s="86" t="s">
        <v>1766</v>
      </c>
      <c r="E977" s="81"/>
      <c r="F977" s="2" t="s">
        <v>132</v>
      </c>
      <c r="G977" s="34">
        <v>11</v>
      </c>
      <c r="H977" s="64">
        <v>0</v>
      </c>
      <c r="I977" s="34">
        <f>ROUND(G977*H977,2)</f>
        <v>0</v>
      </c>
      <c r="J977" s="65" t="s">
        <v>133</v>
      </c>
      <c r="K977" s="59"/>
      <c r="Z977" s="34">
        <f>ROUND(IF(AQ977="5",BJ977,0),2)</f>
        <v>0</v>
      </c>
      <c r="AB977" s="34">
        <f>ROUND(IF(AQ977="1",BH977,0),2)</f>
        <v>0</v>
      </c>
      <c r="AC977" s="34">
        <f>ROUND(IF(AQ977="1",BI977,0),2)</f>
        <v>0</v>
      </c>
      <c r="AD977" s="34">
        <f>ROUND(IF(AQ977="7",BH977,0),2)</f>
        <v>0</v>
      </c>
      <c r="AE977" s="34">
        <f>ROUND(IF(AQ977="7",BI977,0),2)</f>
        <v>0</v>
      </c>
      <c r="AF977" s="34">
        <f>ROUND(IF(AQ977="2",BH977,0),2)</f>
        <v>0</v>
      </c>
      <c r="AG977" s="34">
        <f>ROUND(IF(AQ977="2",BI977,0),2)</f>
        <v>0</v>
      </c>
      <c r="AH977" s="34">
        <f>ROUND(IF(AQ977="0",BJ977,0),2)</f>
        <v>0</v>
      </c>
      <c r="AI977" s="46" t="s">
        <v>84</v>
      </c>
      <c r="AJ977" s="34">
        <f>IF(AN977=0,I977,0)</f>
        <v>0</v>
      </c>
      <c r="AK977" s="34">
        <f>IF(AN977=12,I977,0)</f>
        <v>0</v>
      </c>
      <c r="AL977" s="34">
        <f>IF(AN977=21,I977,0)</f>
        <v>0</v>
      </c>
      <c r="AN977" s="34">
        <v>21</v>
      </c>
      <c r="AO977" s="34">
        <f>H977*0.076742072</f>
        <v>0</v>
      </c>
      <c r="AP977" s="34">
        <f>H977*(1-0.076742072)</f>
        <v>0</v>
      </c>
      <c r="AQ977" s="65" t="s">
        <v>129</v>
      </c>
      <c r="AV977" s="34">
        <f>ROUND(AW977+AX977,2)</f>
        <v>0</v>
      </c>
      <c r="AW977" s="34">
        <f>ROUND(G977*AO977,2)</f>
        <v>0</v>
      </c>
      <c r="AX977" s="34">
        <f>ROUND(G977*AP977,2)</f>
        <v>0</v>
      </c>
      <c r="AY977" s="65" t="s">
        <v>1576</v>
      </c>
      <c r="AZ977" s="65" t="s">
        <v>1550</v>
      </c>
      <c r="BA977" s="46" t="s">
        <v>136</v>
      </c>
      <c r="BC977" s="34">
        <f>AW977+AX977</f>
        <v>0</v>
      </c>
      <c r="BD977" s="34">
        <f>H977/(100-BE977)*100</f>
        <v>0</v>
      </c>
      <c r="BE977" s="34">
        <v>0</v>
      </c>
      <c r="BF977" s="34">
        <f>977</f>
        <v>977</v>
      </c>
      <c r="BH977" s="34">
        <f>G977*AO977</f>
        <v>0</v>
      </c>
      <c r="BI977" s="34">
        <f>G977*AP977</f>
        <v>0</v>
      </c>
      <c r="BJ977" s="34">
        <f>G977*H977</f>
        <v>0</v>
      </c>
      <c r="BK977" s="34"/>
      <c r="BL977" s="34">
        <v>96</v>
      </c>
      <c r="BW977" s="34">
        <v>21</v>
      </c>
      <c r="BX977" s="3" t="s">
        <v>1766</v>
      </c>
    </row>
    <row r="978" spans="1:76" x14ac:dyDescent="0.25">
      <c r="A978" s="66"/>
      <c r="D978" s="67" t="s">
        <v>127</v>
      </c>
      <c r="E978" s="67" t="s">
        <v>1767</v>
      </c>
      <c r="G978" s="68">
        <v>11</v>
      </c>
      <c r="K978" s="59"/>
    </row>
    <row r="979" spans="1:76" x14ac:dyDescent="0.25">
      <c r="A979" s="1" t="s">
        <v>1768</v>
      </c>
      <c r="B979" s="2" t="s">
        <v>84</v>
      </c>
      <c r="C979" s="2" t="s">
        <v>1769</v>
      </c>
      <c r="D979" s="86" t="s">
        <v>1770</v>
      </c>
      <c r="E979" s="81"/>
      <c r="F979" s="2" t="s">
        <v>258</v>
      </c>
      <c r="G979" s="34">
        <v>2</v>
      </c>
      <c r="H979" s="64">
        <v>0</v>
      </c>
      <c r="I979" s="34">
        <f>ROUND(G979*H979,2)</f>
        <v>0</v>
      </c>
      <c r="J979" s="65" t="s">
        <v>133</v>
      </c>
      <c r="K979" s="59"/>
      <c r="Z979" s="34">
        <f>ROUND(IF(AQ979="5",BJ979,0),2)</f>
        <v>0</v>
      </c>
      <c r="AB979" s="34">
        <f>ROUND(IF(AQ979="1",BH979,0),2)</f>
        <v>0</v>
      </c>
      <c r="AC979" s="34">
        <f>ROUND(IF(AQ979="1",BI979,0),2)</f>
        <v>0</v>
      </c>
      <c r="AD979" s="34">
        <f>ROUND(IF(AQ979="7",BH979,0),2)</f>
        <v>0</v>
      </c>
      <c r="AE979" s="34">
        <f>ROUND(IF(AQ979="7",BI979,0),2)</f>
        <v>0</v>
      </c>
      <c r="AF979" s="34">
        <f>ROUND(IF(AQ979="2",BH979,0),2)</f>
        <v>0</v>
      </c>
      <c r="AG979" s="34">
        <f>ROUND(IF(AQ979="2",BI979,0),2)</f>
        <v>0</v>
      </c>
      <c r="AH979" s="34">
        <f>ROUND(IF(AQ979="0",BJ979,0),2)</f>
        <v>0</v>
      </c>
      <c r="AI979" s="46" t="s">
        <v>84</v>
      </c>
      <c r="AJ979" s="34">
        <f>IF(AN979=0,I979,0)</f>
        <v>0</v>
      </c>
      <c r="AK979" s="34">
        <f>IF(AN979=12,I979,0)</f>
        <v>0</v>
      </c>
      <c r="AL979" s="34">
        <f>IF(AN979=21,I979,0)</f>
        <v>0</v>
      </c>
      <c r="AN979" s="34">
        <v>21</v>
      </c>
      <c r="AO979" s="34">
        <f>H979*0</f>
        <v>0</v>
      </c>
      <c r="AP979" s="34">
        <f>H979*(1-0)</f>
        <v>0</v>
      </c>
      <c r="AQ979" s="65" t="s">
        <v>129</v>
      </c>
      <c r="AV979" s="34">
        <f>ROUND(AW979+AX979,2)</f>
        <v>0</v>
      </c>
      <c r="AW979" s="34">
        <f>ROUND(G979*AO979,2)</f>
        <v>0</v>
      </c>
      <c r="AX979" s="34">
        <f>ROUND(G979*AP979,2)</f>
        <v>0</v>
      </c>
      <c r="AY979" s="65" t="s">
        <v>1576</v>
      </c>
      <c r="AZ979" s="65" t="s">
        <v>1550</v>
      </c>
      <c r="BA979" s="46" t="s">
        <v>136</v>
      </c>
      <c r="BC979" s="34">
        <f>AW979+AX979</f>
        <v>0</v>
      </c>
      <c r="BD979" s="34">
        <f>H979/(100-BE979)*100</f>
        <v>0</v>
      </c>
      <c r="BE979" s="34">
        <v>0</v>
      </c>
      <c r="BF979" s="34">
        <f>979</f>
        <v>979</v>
      </c>
      <c r="BH979" s="34">
        <f>G979*AO979</f>
        <v>0</v>
      </c>
      <c r="BI979" s="34">
        <f>G979*AP979</f>
        <v>0</v>
      </c>
      <c r="BJ979" s="34">
        <f>G979*H979</f>
        <v>0</v>
      </c>
      <c r="BK979" s="34"/>
      <c r="BL979" s="34">
        <v>96</v>
      </c>
      <c r="BW979" s="34">
        <v>21</v>
      </c>
      <c r="BX979" s="3" t="s">
        <v>1770</v>
      </c>
    </row>
    <row r="980" spans="1:76" x14ac:dyDescent="0.25">
      <c r="A980" s="66"/>
      <c r="D980" s="67" t="s">
        <v>140</v>
      </c>
      <c r="E980" s="67" t="s">
        <v>1767</v>
      </c>
      <c r="G980" s="68">
        <v>2</v>
      </c>
      <c r="K980" s="59"/>
    </row>
    <row r="981" spans="1:76" x14ac:dyDescent="0.25">
      <c r="A981" s="1" t="s">
        <v>1771</v>
      </c>
      <c r="B981" s="2" t="s">
        <v>84</v>
      </c>
      <c r="C981" s="2" t="s">
        <v>1772</v>
      </c>
      <c r="D981" s="86" t="s">
        <v>1773</v>
      </c>
      <c r="E981" s="81"/>
      <c r="F981" s="2" t="s">
        <v>143</v>
      </c>
      <c r="G981" s="34">
        <v>6.6749999999999998</v>
      </c>
      <c r="H981" s="64">
        <v>0</v>
      </c>
      <c r="I981" s="34">
        <f>ROUND(G981*H981,2)</f>
        <v>0</v>
      </c>
      <c r="J981" s="65" t="s">
        <v>133</v>
      </c>
      <c r="K981" s="59"/>
      <c r="Z981" s="34">
        <f>ROUND(IF(AQ981="5",BJ981,0),2)</f>
        <v>0</v>
      </c>
      <c r="AB981" s="34">
        <f>ROUND(IF(AQ981="1",BH981,0),2)</f>
        <v>0</v>
      </c>
      <c r="AC981" s="34">
        <f>ROUND(IF(AQ981="1",BI981,0),2)</f>
        <v>0</v>
      </c>
      <c r="AD981" s="34">
        <f>ROUND(IF(AQ981="7",BH981,0),2)</f>
        <v>0</v>
      </c>
      <c r="AE981" s="34">
        <f>ROUND(IF(AQ981="7",BI981,0),2)</f>
        <v>0</v>
      </c>
      <c r="AF981" s="34">
        <f>ROUND(IF(AQ981="2",BH981,0),2)</f>
        <v>0</v>
      </c>
      <c r="AG981" s="34">
        <f>ROUND(IF(AQ981="2",BI981,0),2)</f>
        <v>0</v>
      </c>
      <c r="AH981" s="34">
        <f>ROUND(IF(AQ981="0",BJ981,0),2)</f>
        <v>0</v>
      </c>
      <c r="AI981" s="46" t="s">
        <v>84</v>
      </c>
      <c r="AJ981" s="34">
        <f>IF(AN981=0,I981,0)</f>
        <v>0</v>
      </c>
      <c r="AK981" s="34">
        <f>IF(AN981=12,I981,0)</f>
        <v>0</v>
      </c>
      <c r="AL981" s="34">
        <f>IF(AN981=21,I981,0)</f>
        <v>0</v>
      </c>
      <c r="AN981" s="34">
        <v>21</v>
      </c>
      <c r="AO981" s="34">
        <f>H981*0</f>
        <v>0</v>
      </c>
      <c r="AP981" s="34">
        <f>H981*(1-0)</f>
        <v>0</v>
      </c>
      <c r="AQ981" s="65" t="s">
        <v>129</v>
      </c>
      <c r="AV981" s="34">
        <f>ROUND(AW981+AX981,2)</f>
        <v>0</v>
      </c>
      <c r="AW981" s="34">
        <f>ROUND(G981*AO981,2)</f>
        <v>0</v>
      </c>
      <c r="AX981" s="34">
        <f>ROUND(G981*AP981,2)</f>
        <v>0</v>
      </c>
      <c r="AY981" s="65" t="s">
        <v>1576</v>
      </c>
      <c r="AZ981" s="65" t="s">
        <v>1550</v>
      </c>
      <c r="BA981" s="46" t="s">
        <v>136</v>
      </c>
      <c r="BC981" s="34">
        <f>AW981+AX981</f>
        <v>0</v>
      </c>
      <c r="BD981" s="34">
        <f>H981/(100-BE981)*100</f>
        <v>0</v>
      </c>
      <c r="BE981" s="34">
        <v>0</v>
      </c>
      <c r="BF981" s="34">
        <f>981</f>
        <v>981</v>
      </c>
      <c r="BH981" s="34">
        <f>G981*AO981</f>
        <v>0</v>
      </c>
      <c r="BI981" s="34">
        <f>G981*AP981</f>
        <v>0</v>
      </c>
      <c r="BJ981" s="34">
        <f>G981*H981</f>
        <v>0</v>
      </c>
      <c r="BK981" s="34"/>
      <c r="BL981" s="34">
        <v>96</v>
      </c>
      <c r="BW981" s="34">
        <v>21</v>
      </c>
      <c r="BX981" s="3" t="s">
        <v>1773</v>
      </c>
    </row>
    <row r="982" spans="1:76" ht="13.5" customHeight="1" x14ac:dyDescent="0.25">
      <c r="A982" s="66"/>
      <c r="C982" s="69" t="s">
        <v>204</v>
      </c>
      <c r="D982" s="169" t="s">
        <v>1774</v>
      </c>
      <c r="E982" s="170"/>
      <c r="F982" s="170"/>
      <c r="G982" s="170"/>
      <c r="H982" s="171"/>
      <c r="I982" s="170"/>
      <c r="J982" s="170"/>
      <c r="K982" s="172"/>
    </row>
    <row r="983" spans="1:76" x14ac:dyDescent="0.25">
      <c r="A983" s="66"/>
      <c r="D983" s="67" t="s">
        <v>1775</v>
      </c>
      <c r="E983" s="67" t="s">
        <v>1776</v>
      </c>
      <c r="G983" s="68">
        <v>2.625</v>
      </c>
      <c r="K983" s="59"/>
    </row>
    <row r="984" spans="1:76" x14ac:dyDescent="0.25">
      <c r="A984" s="66"/>
      <c r="D984" s="67" t="s">
        <v>1777</v>
      </c>
      <c r="E984" s="67" t="s">
        <v>1778</v>
      </c>
      <c r="G984" s="68">
        <v>4.05</v>
      </c>
      <c r="K984" s="59"/>
    </row>
    <row r="985" spans="1:76" x14ac:dyDescent="0.25">
      <c r="A985" s="1" t="s">
        <v>1779</v>
      </c>
      <c r="B985" s="2" t="s">
        <v>84</v>
      </c>
      <c r="C985" s="2" t="s">
        <v>1780</v>
      </c>
      <c r="D985" s="86" t="s">
        <v>1781</v>
      </c>
      <c r="E985" s="81"/>
      <c r="F985" s="2" t="s">
        <v>132</v>
      </c>
      <c r="G985" s="34">
        <v>2</v>
      </c>
      <c r="H985" s="64">
        <v>0</v>
      </c>
      <c r="I985" s="34">
        <f>ROUND(G985*H985,2)</f>
        <v>0</v>
      </c>
      <c r="J985" s="65" t="s">
        <v>133</v>
      </c>
      <c r="K985" s="59"/>
      <c r="Z985" s="34">
        <f>ROUND(IF(AQ985="5",BJ985,0),2)</f>
        <v>0</v>
      </c>
      <c r="AB985" s="34">
        <f>ROUND(IF(AQ985="1",BH985,0),2)</f>
        <v>0</v>
      </c>
      <c r="AC985" s="34">
        <f>ROUND(IF(AQ985="1",BI985,0),2)</f>
        <v>0</v>
      </c>
      <c r="AD985" s="34">
        <f>ROUND(IF(AQ985="7",BH985,0),2)</f>
        <v>0</v>
      </c>
      <c r="AE985" s="34">
        <f>ROUND(IF(AQ985="7",BI985,0),2)</f>
        <v>0</v>
      </c>
      <c r="AF985" s="34">
        <f>ROUND(IF(AQ985="2",BH985,0),2)</f>
        <v>0</v>
      </c>
      <c r="AG985" s="34">
        <f>ROUND(IF(AQ985="2",BI985,0),2)</f>
        <v>0</v>
      </c>
      <c r="AH985" s="34">
        <f>ROUND(IF(AQ985="0",BJ985,0),2)</f>
        <v>0</v>
      </c>
      <c r="AI985" s="46" t="s">
        <v>84</v>
      </c>
      <c r="AJ985" s="34">
        <f>IF(AN985=0,I985,0)</f>
        <v>0</v>
      </c>
      <c r="AK985" s="34">
        <f>IF(AN985=12,I985,0)</f>
        <v>0</v>
      </c>
      <c r="AL985" s="34">
        <f>IF(AN985=21,I985,0)</f>
        <v>0</v>
      </c>
      <c r="AN985" s="34">
        <v>21</v>
      </c>
      <c r="AO985" s="34">
        <f>H985*0.04817552</f>
        <v>0</v>
      </c>
      <c r="AP985" s="34">
        <f>H985*(1-0.04817552)</f>
        <v>0</v>
      </c>
      <c r="AQ985" s="65" t="s">
        <v>129</v>
      </c>
      <c r="AV985" s="34">
        <f>ROUND(AW985+AX985,2)</f>
        <v>0</v>
      </c>
      <c r="AW985" s="34">
        <f>ROUND(G985*AO985,2)</f>
        <v>0</v>
      </c>
      <c r="AX985" s="34">
        <f>ROUND(G985*AP985,2)</f>
        <v>0</v>
      </c>
      <c r="AY985" s="65" t="s">
        <v>1576</v>
      </c>
      <c r="AZ985" s="65" t="s">
        <v>1550</v>
      </c>
      <c r="BA985" s="46" t="s">
        <v>136</v>
      </c>
      <c r="BC985" s="34">
        <f>AW985+AX985</f>
        <v>0</v>
      </c>
      <c r="BD985" s="34">
        <f>H985/(100-BE985)*100</f>
        <v>0</v>
      </c>
      <c r="BE985" s="34">
        <v>0</v>
      </c>
      <c r="BF985" s="34">
        <f>985</f>
        <v>985</v>
      </c>
      <c r="BH985" s="34">
        <f>G985*AO985</f>
        <v>0</v>
      </c>
      <c r="BI985" s="34">
        <f>G985*AP985</f>
        <v>0</v>
      </c>
      <c r="BJ985" s="34">
        <f>G985*H985</f>
        <v>0</v>
      </c>
      <c r="BK985" s="34"/>
      <c r="BL985" s="34">
        <v>96</v>
      </c>
      <c r="BW985" s="34">
        <v>21</v>
      </c>
      <c r="BX985" s="3" t="s">
        <v>1781</v>
      </c>
    </row>
    <row r="986" spans="1:76" x14ac:dyDescent="0.25">
      <c r="A986" s="66"/>
      <c r="D986" s="67" t="s">
        <v>140</v>
      </c>
      <c r="E986" s="67" t="s">
        <v>1782</v>
      </c>
      <c r="G986" s="68">
        <v>2</v>
      </c>
      <c r="K986" s="59"/>
    </row>
    <row r="987" spans="1:76" x14ac:dyDescent="0.25">
      <c r="A987" s="60" t="s">
        <v>4</v>
      </c>
      <c r="B987" s="61" t="s">
        <v>84</v>
      </c>
      <c r="C987" s="61" t="s">
        <v>825</v>
      </c>
      <c r="D987" s="167" t="s">
        <v>1783</v>
      </c>
      <c r="E987" s="168"/>
      <c r="F987" s="62" t="s">
        <v>79</v>
      </c>
      <c r="G987" s="62" t="s">
        <v>79</v>
      </c>
      <c r="H987" s="63" t="s">
        <v>79</v>
      </c>
      <c r="I987" s="39">
        <f>SUM(I988:I1004)</f>
        <v>0</v>
      </c>
      <c r="J987" s="46" t="s">
        <v>4</v>
      </c>
      <c r="K987" s="59"/>
      <c r="AI987" s="46" t="s">
        <v>84</v>
      </c>
      <c r="AS987" s="39">
        <f>SUM(AJ988:AJ1004)</f>
        <v>0</v>
      </c>
      <c r="AT987" s="39">
        <f>SUM(AK988:AK1004)</f>
        <v>0</v>
      </c>
      <c r="AU987" s="39">
        <f>SUM(AL988:AL1004)</f>
        <v>0</v>
      </c>
    </row>
    <row r="988" spans="1:76" x14ac:dyDescent="0.25">
      <c r="A988" s="1" t="s">
        <v>1784</v>
      </c>
      <c r="B988" s="2" t="s">
        <v>84</v>
      </c>
      <c r="C988" s="2" t="s">
        <v>1785</v>
      </c>
      <c r="D988" s="86" t="s">
        <v>1786</v>
      </c>
      <c r="E988" s="81"/>
      <c r="F988" s="2" t="s">
        <v>178</v>
      </c>
      <c r="G988" s="34">
        <v>0.16500000000000001</v>
      </c>
      <c r="H988" s="64">
        <v>0</v>
      </c>
      <c r="I988" s="34">
        <f>ROUND(G988*H988,2)</f>
        <v>0</v>
      </c>
      <c r="J988" s="65" t="s">
        <v>133</v>
      </c>
      <c r="K988" s="59"/>
      <c r="Z988" s="34">
        <f>ROUND(IF(AQ988="5",BJ988,0),2)</f>
        <v>0</v>
      </c>
      <c r="AB988" s="34">
        <f>ROUND(IF(AQ988="1",BH988,0),2)</f>
        <v>0</v>
      </c>
      <c r="AC988" s="34">
        <f>ROUND(IF(AQ988="1",BI988,0),2)</f>
        <v>0</v>
      </c>
      <c r="AD988" s="34">
        <f>ROUND(IF(AQ988="7",BH988,0),2)</f>
        <v>0</v>
      </c>
      <c r="AE988" s="34">
        <f>ROUND(IF(AQ988="7",BI988,0),2)</f>
        <v>0</v>
      </c>
      <c r="AF988" s="34">
        <f>ROUND(IF(AQ988="2",BH988,0),2)</f>
        <v>0</v>
      </c>
      <c r="AG988" s="34">
        <f>ROUND(IF(AQ988="2",BI988,0),2)</f>
        <v>0</v>
      </c>
      <c r="AH988" s="34">
        <f>ROUND(IF(AQ988="0",BJ988,0),2)</f>
        <v>0</v>
      </c>
      <c r="AI988" s="46" t="s">
        <v>84</v>
      </c>
      <c r="AJ988" s="34">
        <f>IF(AN988=0,I988,0)</f>
        <v>0</v>
      </c>
      <c r="AK988" s="34">
        <f>IF(AN988=12,I988,0)</f>
        <v>0</v>
      </c>
      <c r="AL988" s="34">
        <f>IF(AN988=21,I988,0)</f>
        <v>0</v>
      </c>
      <c r="AN988" s="34">
        <v>21</v>
      </c>
      <c r="AO988" s="34">
        <f>H988*0</f>
        <v>0</v>
      </c>
      <c r="AP988" s="34">
        <f>H988*(1-0)</f>
        <v>0</v>
      </c>
      <c r="AQ988" s="65" t="s">
        <v>129</v>
      </c>
      <c r="AV988" s="34">
        <f>ROUND(AW988+AX988,2)</f>
        <v>0</v>
      </c>
      <c r="AW988" s="34">
        <f>ROUND(G988*AO988,2)</f>
        <v>0</v>
      </c>
      <c r="AX988" s="34">
        <f>ROUND(G988*AP988,2)</f>
        <v>0</v>
      </c>
      <c r="AY988" s="65" t="s">
        <v>1787</v>
      </c>
      <c r="AZ988" s="65" t="s">
        <v>1550</v>
      </c>
      <c r="BA988" s="46" t="s">
        <v>136</v>
      </c>
      <c r="BC988" s="34">
        <f>AW988+AX988</f>
        <v>0</v>
      </c>
      <c r="BD988" s="34">
        <f>H988/(100-BE988)*100</f>
        <v>0</v>
      </c>
      <c r="BE988" s="34">
        <v>0</v>
      </c>
      <c r="BF988" s="34">
        <f>988</f>
        <v>988</v>
      </c>
      <c r="BH988" s="34">
        <f>G988*AO988</f>
        <v>0</v>
      </c>
      <c r="BI988" s="34">
        <f>G988*AP988</f>
        <v>0</v>
      </c>
      <c r="BJ988" s="34">
        <f>G988*H988</f>
        <v>0</v>
      </c>
      <c r="BK988" s="34"/>
      <c r="BL988" s="34">
        <v>97</v>
      </c>
      <c r="BW988" s="34">
        <v>21</v>
      </c>
      <c r="BX988" s="3" t="s">
        <v>1786</v>
      </c>
    </row>
    <row r="989" spans="1:76" x14ac:dyDescent="0.25">
      <c r="A989" s="66"/>
      <c r="D989" s="67" t="s">
        <v>1788</v>
      </c>
      <c r="E989" s="67" t="s">
        <v>1789</v>
      </c>
      <c r="G989" s="68">
        <v>0.16500000000000001</v>
      </c>
      <c r="K989" s="59"/>
    </row>
    <row r="990" spans="1:76" x14ac:dyDescent="0.25">
      <c r="A990" s="1" t="s">
        <v>1790</v>
      </c>
      <c r="B990" s="2" t="s">
        <v>84</v>
      </c>
      <c r="C990" s="2" t="s">
        <v>1791</v>
      </c>
      <c r="D990" s="86" t="s">
        <v>1792</v>
      </c>
      <c r="E990" s="81"/>
      <c r="F990" s="2" t="s">
        <v>132</v>
      </c>
      <c r="G990" s="34">
        <v>192.24</v>
      </c>
      <c r="H990" s="64">
        <v>0</v>
      </c>
      <c r="I990" s="34">
        <f>ROUND(G990*H990,2)</f>
        <v>0</v>
      </c>
      <c r="J990" s="65" t="s">
        <v>133</v>
      </c>
      <c r="K990" s="59"/>
      <c r="Z990" s="34">
        <f>ROUND(IF(AQ990="5",BJ990,0),2)</f>
        <v>0</v>
      </c>
      <c r="AB990" s="34">
        <f>ROUND(IF(AQ990="1",BH990,0),2)</f>
        <v>0</v>
      </c>
      <c r="AC990" s="34">
        <f>ROUND(IF(AQ990="1",BI990,0),2)</f>
        <v>0</v>
      </c>
      <c r="AD990" s="34">
        <f>ROUND(IF(AQ990="7",BH990,0),2)</f>
        <v>0</v>
      </c>
      <c r="AE990" s="34">
        <f>ROUND(IF(AQ990="7",BI990,0),2)</f>
        <v>0</v>
      </c>
      <c r="AF990" s="34">
        <f>ROUND(IF(AQ990="2",BH990,0),2)</f>
        <v>0</v>
      </c>
      <c r="AG990" s="34">
        <f>ROUND(IF(AQ990="2",BI990,0),2)</f>
        <v>0</v>
      </c>
      <c r="AH990" s="34">
        <f>ROUND(IF(AQ990="0",BJ990,0),2)</f>
        <v>0</v>
      </c>
      <c r="AI990" s="46" t="s">
        <v>84</v>
      </c>
      <c r="AJ990" s="34">
        <f>IF(AN990=0,I990,0)</f>
        <v>0</v>
      </c>
      <c r="AK990" s="34">
        <f>IF(AN990=12,I990,0)</f>
        <v>0</v>
      </c>
      <c r="AL990" s="34">
        <f>IF(AN990=21,I990,0)</f>
        <v>0</v>
      </c>
      <c r="AN990" s="34">
        <v>21</v>
      </c>
      <c r="AO990" s="34">
        <f>H990*0</f>
        <v>0</v>
      </c>
      <c r="AP990" s="34">
        <f>H990*(1-0)</f>
        <v>0</v>
      </c>
      <c r="AQ990" s="65" t="s">
        <v>129</v>
      </c>
      <c r="AV990" s="34">
        <f>ROUND(AW990+AX990,2)</f>
        <v>0</v>
      </c>
      <c r="AW990" s="34">
        <f>ROUND(G990*AO990,2)</f>
        <v>0</v>
      </c>
      <c r="AX990" s="34">
        <f>ROUND(G990*AP990,2)</f>
        <v>0</v>
      </c>
      <c r="AY990" s="65" t="s">
        <v>1787</v>
      </c>
      <c r="AZ990" s="65" t="s">
        <v>1550</v>
      </c>
      <c r="BA990" s="46" t="s">
        <v>136</v>
      </c>
      <c r="BC990" s="34">
        <f>AW990+AX990</f>
        <v>0</v>
      </c>
      <c r="BD990" s="34">
        <f>H990/(100-BE990)*100</f>
        <v>0</v>
      </c>
      <c r="BE990" s="34">
        <v>0</v>
      </c>
      <c r="BF990" s="34">
        <f>990</f>
        <v>990</v>
      </c>
      <c r="BH990" s="34">
        <f>G990*AO990</f>
        <v>0</v>
      </c>
      <c r="BI990" s="34">
        <f>G990*AP990</f>
        <v>0</v>
      </c>
      <c r="BJ990" s="34">
        <f>G990*H990</f>
        <v>0</v>
      </c>
      <c r="BK990" s="34"/>
      <c r="BL990" s="34">
        <v>97</v>
      </c>
      <c r="BW990" s="34">
        <v>21</v>
      </c>
      <c r="BX990" s="3" t="s">
        <v>1792</v>
      </c>
    </row>
    <row r="991" spans="1:76" x14ac:dyDescent="0.25">
      <c r="A991" s="66"/>
      <c r="D991" s="67" t="s">
        <v>1793</v>
      </c>
      <c r="E991" s="67" t="s">
        <v>1794</v>
      </c>
      <c r="G991" s="68">
        <v>16.739999999999998</v>
      </c>
      <c r="K991" s="59"/>
    </row>
    <row r="992" spans="1:76" x14ac:dyDescent="0.25">
      <c r="A992" s="66"/>
      <c r="D992" s="67" t="s">
        <v>1795</v>
      </c>
      <c r="E992" s="67" t="s">
        <v>1796</v>
      </c>
      <c r="G992" s="68">
        <v>32.4</v>
      </c>
      <c r="K992" s="59"/>
    </row>
    <row r="993" spans="1:76" x14ac:dyDescent="0.25">
      <c r="A993" s="66"/>
      <c r="D993" s="67" t="s">
        <v>1797</v>
      </c>
      <c r="E993" s="67" t="s">
        <v>1798</v>
      </c>
      <c r="G993" s="68">
        <v>10.8</v>
      </c>
      <c r="K993" s="59"/>
    </row>
    <row r="994" spans="1:76" x14ac:dyDescent="0.25">
      <c r="A994" s="66"/>
      <c r="D994" s="67" t="s">
        <v>1795</v>
      </c>
      <c r="E994" s="67" t="s">
        <v>1799</v>
      </c>
      <c r="G994" s="68">
        <v>32.4</v>
      </c>
      <c r="K994" s="59"/>
    </row>
    <row r="995" spans="1:76" x14ac:dyDescent="0.25">
      <c r="A995" s="66"/>
      <c r="D995" s="67" t="s">
        <v>1800</v>
      </c>
      <c r="E995" s="67" t="s">
        <v>1801</v>
      </c>
      <c r="G995" s="68">
        <v>20.7</v>
      </c>
      <c r="K995" s="59"/>
    </row>
    <row r="996" spans="1:76" x14ac:dyDescent="0.25">
      <c r="A996" s="66"/>
      <c r="D996" s="67" t="s">
        <v>1802</v>
      </c>
      <c r="E996" s="67" t="s">
        <v>1803</v>
      </c>
      <c r="G996" s="68">
        <v>57.6</v>
      </c>
      <c r="K996" s="59"/>
    </row>
    <row r="997" spans="1:76" x14ac:dyDescent="0.25">
      <c r="A997" s="66"/>
      <c r="D997" s="67" t="s">
        <v>1804</v>
      </c>
      <c r="E997" s="67" t="s">
        <v>1805</v>
      </c>
      <c r="G997" s="68">
        <v>21.6</v>
      </c>
      <c r="K997" s="59"/>
    </row>
    <row r="998" spans="1:76" x14ac:dyDescent="0.25">
      <c r="A998" s="1" t="s">
        <v>1569</v>
      </c>
      <c r="B998" s="2" t="s">
        <v>84</v>
      </c>
      <c r="C998" s="2" t="s">
        <v>1806</v>
      </c>
      <c r="D998" s="86" t="s">
        <v>1807</v>
      </c>
      <c r="E998" s="81"/>
      <c r="F998" s="2" t="s">
        <v>239</v>
      </c>
      <c r="G998" s="34">
        <v>10</v>
      </c>
      <c r="H998" s="64">
        <v>0</v>
      </c>
      <c r="I998" s="34">
        <f>ROUND(G998*H998,2)</f>
        <v>0</v>
      </c>
      <c r="J998" s="65" t="s">
        <v>133</v>
      </c>
      <c r="K998" s="59"/>
      <c r="Z998" s="34">
        <f>ROUND(IF(AQ998="5",BJ998,0),2)</f>
        <v>0</v>
      </c>
      <c r="AB998" s="34">
        <f>ROUND(IF(AQ998="1",BH998,0),2)</f>
        <v>0</v>
      </c>
      <c r="AC998" s="34">
        <f>ROUND(IF(AQ998="1",BI998,0),2)</f>
        <v>0</v>
      </c>
      <c r="AD998" s="34">
        <f>ROUND(IF(AQ998="7",BH998,0),2)</f>
        <v>0</v>
      </c>
      <c r="AE998" s="34">
        <f>ROUND(IF(AQ998="7",BI998,0),2)</f>
        <v>0</v>
      </c>
      <c r="AF998" s="34">
        <f>ROUND(IF(AQ998="2",BH998,0),2)</f>
        <v>0</v>
      </c>
      <c r="AG998" s="34">
        <f>ROUND(IF(AQ998="2",BI998,0),2)</f>
        <v>0</v>
      </c>
      <c r="AH998" s="34">
        <f>ROUND(IF(AQ998="0",BJ998,0),2)</f>
        <v>0</v>
      </c>
      <c r="AI998" s="46" t="s">
        <v>84</v>
      </c>
      <c r="AJ998" s="34">
        <f>IF(AN998=0,I998,0)</f>
        <v>0</v>
      </c>
      <c r="AK998" s="34">
        <f>IF(AN998=12,I998,0)</f>
        <v>0</v>
      </c>
      <c r="AL998" s="34">
        <f>IF(AN998=21,I998,0)</f>
        <v>0</v>
      </c>
      <c r="AN998" s="34">
        <v>21</v>
      </c>
      <c r="AO998" s="34">
        <f>H998*0</f>
        <v>0</v>
      </c>
      <c r="AP998" s="34">
        <f>H998*(1-0)</f>
        <v>0</v>
      </c>
      <c r="AQ998" s="65" t="s">
        <v>129</v>
      </c>
      <c r="AV998" s="34">
        <f>ROUND(AW998+AX998,2)</f>
        <v>0</v>
      </c>
      <c r="AW998" s="34">
        <f>ROUND(G998*AO998,2)</f>
        <v>0</v>
      </c>
      <c r="AX998" s="34">
        <f>ROUND(G998*AP998,2)</f>
        <v>0</v>
      </c>
      <c r="AY998" s="65" t="s">
        <v>1787</v>
      </c>
      <c r="AZ998" s="65" t="s">
        <v>1550</v>
      </c>
      <c r="BA998" s="46" t="s">
        <v>136</v>
      </c>
      <c r="BC998" s="34">
        <f>AW998+AX998</f>
        <v>0</v>
      </c>
      <c r="BD998" s="34">
        <f>H998/(100-BE998)*100</f>
        <v>0</v>
      </c>
      <c r="BE998" s="34">
        <v>0</v>
      </c>
      <c r="BF998" s="34">
        <f>998</f>
        <v>998</v>
      </c>
      <c r="BH998" s="34">
        <f>G998*AO998</f>
        <v>0</v>
      </c>
      <c r="BI998" s="34">
        <f>G998*AP998</f>
        <v>0</v>
      </c>
      <c r="BJ998" s="34">
        <f>G998*H998</f>
        <v>0</v>
      </c>
      <c r="BK998" s="34"/>
      <c r="BL998" s="34">
        <v>97</v>
      </c>
      <c r="BW998" s="34">
        <v>21</v>
      </c>
      <c r="BX998" s="3" t="s">
        <v>1807</v>
      </c>
    </row>
    <row r="999" spans="1:76" x14ac:dyDescent="0.25">
      <c r="A999" s="66"/>
      <c r="D999" s="67" t="s">
        <v>198</v>
      </c>
      <c r="E999" s="67" t="s">
        <v>4</v>
      </c>
      <c r="G999" s="68">
        <v>10</v>
      </c>
      <c r="K999" s="59"/>
    </row>
    <row r="1000" spans="1:76" x14ac:dyDescent="0.25">
      <c r="A1000" s="1" t="s">
        <v>1808</v>
      </c>
      <c r="B1000" s="2" t="s">
        <v>84</v>
      </c>
      <c r="C1000" s="2" t="s">
        <v>1809</v>
      </c>
      <c r="D1000" s="86" t="s">
        <v>1810</v>
      </c>
      <c r="E1000" s="81"/>
      <c r="F1000" s="2" t="s">
        <v>258</v>
      </c>
      <c r="G1000" s="34">
        <v>21</v>
      </c>
      <c r="H1000" s="64">
        <v>0</v>
      </c>
      <c r="I1000" s="34">
        <f>ROUND(G1000*H1000,2)</f>
        <v>0</v>
      </c>
      <c r="J1000" s="65" t="s">
        <v>133</v>
      </c>
      <c r="K1000" s="59"/>
      <c r="Z1000" s="34">
        <f>ROUND(IF(AQ1000="5",BJ1000,0),2)</f>
        <v>0</v>
      </c>
      <c r="AB1000" s="34">
        <f>ROUND(IF(AQ1000="1",BH1000,0),2)</f>
        <v>0</v>
      </c>
      <c r="AC1000" s="34">
        <f>ROUND(IF(AQ1000="1",BI1000,0),2)</f>
        <v>0</v>
      </c>
      <c r="AD1000" s="34">
        <f>ROUND(IF(AQ1000="7",BH1000,0),2)</f>
        <v>0</v>
      </c>
      <c r="AE1000" s="34">
        <f>ROUND(IF(AQ1000="7",BI1000,0),2)</f>
        <v>0</v>
      </c>
      <c r="AF1000" s="34">
        <f>ROUND(IF(AQ1000="2",BH1000,0),2)</f>
        <v>0</v>
      </c>
      <c r="AG1000" s="34">
        <f>ROUND(IF(AQ1000="2",BI1000,0),2)</f>
        <v>0</v>
      </c>
      <c r="AH1000" s="34">
        <f>ROUND(IF(AQ1000="0",BJ1000,0),2)</f>
        <v>0</v>
      </c>
      <c r="AI1000" s="46" t="s">
        <v>84</v>
      </c>
      <c r="AJ1000" s="34">
        <f>IF(AN1000=0,I1000,0)</f>
        <v>0</v>
      </c>
      <c r="AK1000" s="34">
        <f>IF(AN1000=12,I1000,0)</f>
        <v>0</v>
      </c>
      <c r="AL1000" s="34">
        <f>IF(AN1000=21,I1000,0)</f>
        <v>0</v>
      </c>
      <c r="AN1000" s="34">
        <v>21</v>
      </c>
      <c r="AO1000" s="34">
        <f>H1000*0</f>
        <v>0</v>
      </c>
      <c r="AP1000" s="34">
        <f>H1000*(1-0)</f>
        <v>0</v>
      </c>
      <c r="AQ1000" s="65" t="s">
        <v>129</v>
      </c>
      <c r="AV1000" s="34">
        <f>ROUND(AW1000+AX1000,2)</f>
        <v>0</v>
      </c>
      <c r="AW1000" s="34">
        <f>ROUND(G1000*AO1000,2)</f>
        <v>0</v>
      </c>
      <c r="AX1000" s="34">
        <f>ROUND(G1000*AP1000,2)</f>
        <v>0</v>
      </c>
      <c r="AY1000" s="65" t="s">
        <v>1787</v>
      </c>
      <c r="AZ1000" s="65" t="s">
        <v>1550</v>
      </c>
      <c r="BA1000" s="46" t="s">
        <v>136</v>
      </c>
      <c r="BC1000" s="34">
        <f>AW1000+AX1000</f>
        <v>0</v>
      </c>
      <c r="BD1000" s="34">
        <f>H1000/(100-BE1000)*100</f>
        <v>0</v>
      </c>
      <c r="BE1000" s="34">
        <v>0</v>
      </c>
      <c r="BF1000" s="34">
        <f>1000</f>
        <v>1000</v>
      </c>
      <c r="BH1000" s="34">
        <f>G1000*AO1000</f>
        <v>0</v>
      </c>
      <c r="BI1000" s="34">
        <f>G1000*AP1000</f>
        <v>0</v>
      </c>
      <c r="BJ1000" s="34">
        <f>G1000*H1000</f>
        <v>0</v>
      </c>
      <c r="BK1000" s="34"/>
      <c r="BL1000" s="34">
        <v>97</v>
      </c>
      <c r="BW1000" s="34">
        <v>21</v>
      </c>
      <c r="BX1000" s="3" t="s">
        <v>1810</v>
      </c>
    </row>
    <row r="1001" spans="1:76" x14ac:dyDescent="0.25">
      <c r="A1001" s="66"/>
      <c r="D1001" s="67" t="s">
        <v>276</v>
      </c>
      <c r="E1001" s="67" t="s">
        <v>1811</v>
      </c>
      <c r="G1001" s="68">
        <v>21</v>
      </c>
      <c r="K1001" s="59"/>
    </row>
    <row r="1002" spans="1:76" x14ac:dyDescent="0.25">
      <c r="A1002" s="1" t="s">
        <v>1812</v>
      </c>
      <c r="B1002" s="2" t="s">
        <v>84</v>
      </c>
      <c r="C1002" s="2" t="s">
        <v>1813</v>
      </c>
      <c r="D1002" s="86" t="s">
        <v>1814</v>
      </c>
      <c r="E1002" s="81"/>
      <c r="F1002" s="2" t="s">
        <v>132</v>
      </c>
      <c r="G1002" s="34">
        <v>27</v>
      </c>
      <c r="H1002" s="64">
        <v>0</v>
      </c>
      <c r="I1002" s="34">
        <f>ROUND(G1002*H1002,2)</f>
        <v>0</v>
      </c>
      <c r="J1002" s="65" t="s">
        <v>133</v>
      </c>
      <c r="K1002" s="59"/>
      <c r="Z1002" s="34">
        <f>ROUND(IF(AQ1002="5",BJ1002,0),2)</f>
        <v>0</v>
      </c>
      <c r="AB1002" s="34">
        <f>ROUND(IF(AQ1002="1",BH1002,0),2)</f>
        <v>0</v>
      </c>
      <c r="AC1002" s="34">
        <f>ROUND(IF(AQ1002="1",BI1002,0),2)</f>
        <v>0</v>
      </c>
      <c r="AD1002" s="34">
        <f>ROUND(IF(AQ1002="7",BH1002,0),2)</f>
        <v>0</v>
      </c>
      <c r="AE1002" s="34">
        <f>ROUND(IF(AQ1002="7",BI1002,0),2)</f>
        <v>0</v>
      </c>
      <c r="AF1002" s="34">
        <f>ROUND(IF(AQ1002="2",BH1002,0),2)</f>
        <v>0</v>
      </c>
      <c r="AG1002" s="34">
        <f>ROUND(IF(AQ1002="2",BI1002,0),2)</f>
        <v>0</v>
      </c>
      <c r="AH1002" s="34">
        <f>ROUND(IF(AQ1002="0",BJ1002,0),2)</f>
        <v>0</v>
      </c>
      <c r="AI1002" s="46" t="s">
        <v>84</v>
      </c>
      <c r="AJ1002" s="34">
        <f>IF(AN1002=0,I1002,0)</f>
        <v>0</v>
      </c>
      <c r="AK1002" s="34">
        <f>IF(AN1002=12,I1002,0)</f>
        <v>0</v>
      </c>
      <c r="AL1002" s="34">
        <f>IF(AN1002=21,I1002,0)</f>
        <v>0</v>
      </c>
      <c r="AN1002" s="34">
        <v>21</v>
      </c>
      <c r="AO1002" s="34">
        <f>H1002*0</f>
        <v>0</v>
      </c>
      <c r="AP1002" s="34">
        <f>H1002*(1-0)</f>
        <v>0</v>
      </c>
      <c r="AQ1002" s="65" t="s">
        <v>129</v>
      </c>
      <c r="AV1002" s="34">
        <f>ROUND(AW1002+AX1002,2)</f>
        <v>0</v>
      </c>
      <c r="AW1002" s="34">
        <f>ROUND(G1002*AO1002,2)</f>
        <v>0</v>
      </c>
      <c r="AX1002" s="34">
        <f>ROUND(G1002*AP1002,2)</f>
        <v>0</v>
      </c>
      <c r="AY1002" s="65" t="s">
        <v>1787</v>
      </c>
      <c r="AZ1002" s="65" t="s">
        <v>1550</v>
      </c>
      <c r="BA1002" s="46" t="s">
        <v>136</v>
      </c>
      <c r="BC1002" s="34">
        <f>AW1002+AX1002</f>
        <v>0</v>
      </c>
      <c r="BD1002" s="34">
        <f>H1002/(100-BE1002)*100</f>
        <v>0</v>
      </c>
      <c r="BE1002" s="34">
        <v>0</v>
      </c>
      <c r="BF1002" s="34">
        <f>1002</f>
        <v>1002</v>
      </c>
      <c r="BH1002" s="34">
        <f>G1002*AO1002</f>
        <v>0</v>
      </c>
      <c r="BI1002" s="34">
        <f>G1002*AP1002</f>
        <v>0</v>
      </c>
      <c r="BJ1002" s="34">
        <f>G1002*H1002</f>
        <v>0</v>
      </c>
      <c r="BK1002" s="34"/>
      <c r="BL1002" s="34">
        <v>97</v>
      </c>
      <c r="BW1002" s="34">
        <v>21</v>
      </c>
      <c r="BX1002" s="3" t="s">
        <v>1814</v>
      </c>
    </row>
    <row r="1003" spans="1:76" x14ac:dyDescent="0.25">
      <c r="A1003" s="66"/>
      <c r="D1003" s="67" t="s">
        <v>187</v>
      </c>
      <c r="E1003" s="67" t="s">
        <v>1815</v>
      </c>
      <c r="G1003" s="68">
        <v>27</v>
      </c>
      <c r="K1003" s="59"/>
    </row>
    <row r="1004" spans="1:76" x14ac:dyDescent="0.25">
      <c r="A1004" s="1" t="s">
        <v>1816</v>
      </c>
      <c r="B1004" s="2" t="s">
        <v>84</v>
      </c>
      <c r="C1004" s="2" t="s">
        <v>1817</v>
      </c>
      <c r="D1004" s="86" t="s">
        <v>1818</v>
      </c>
      <c r="E1004" s="81"/>
      <c r="F1004" s="2" t="s">
        <v>132</v>
      </c>
      <c r="G1004" s="34">
        <v>780</v>
      </c>
      <c r="H1004" s="64">
        <v>0</v>
      </c>
      <c r="I1004" s="34">
        <f>ROUND(G1004*H1004,2)</f>
        <v>0</v>
      </c>
      <c r="J1004" s="65" t="s">
        <v>133</v>
      </c>
      <c r="K1004" s="59"/>
      <c r="Z1004" s="34">
        <f>ROUND(IF(AQ1004="5",BJ1004,0),2)</f>
        <v>0</v>
      </c>
      <c r="AB1004" s="34">
        <f>ROUND(IF(AQ1004="1",BH1004,0),2)</f>
        <v>0</v>
      </c>
      <c r="AC1004" s="34">
        <f>ROUND(IF(AQ1004="1",BI1004,0),2)</f>
        <v>0</v>
      </c>
      <c r="AD1004" s="34">
        <f>ROUND(IF(AQ1004="7",BH1004,0),2)</f>
        <v>0</v>
      </c>
      <c r="AE1004" s="34">
        <f>ROUND(IF(AQ1004="7",BI1004,0),2)</f>
        <v>0</v>
      </c>
      <c r="AF1004" s="34">
        <f>ROUND(IF(AQ1004="2",BH1004,0),2)</f>
        <v>0</v>
      </c>
      <c r="AG1004" s="34">
        <f>ROUND(IF(AQ1004="2",BI1004,0),2)</f>
        <v>0</v>
      </c>
      <c r="AH1004" s="34">
        <f>ROUND(IF(AQ1004="0",BJ1004,0),2)</f>
        <v>0</v>
      </c>
      <c r="AI1004" s="46" t="s">
        <v>84</v>
      </c>
      <c r="AJ1004" s="34">
        <f>IF(AN1004=0,I1004,0)</f>
        <v>0</v>
      </c>
      <c r="AK1004" s="34">
        <f>IF(AN1004=12,I1004,0)</f>
        <v>0</v>
      </c>
      <c r="AL1004" s="34">
        <f>IF(AN1004=21,I1004,0)</f>
        <v>0</v>
      </c>
      <c r="AN1004" s="34">
        <v>21</v>
      </c>
      <c r="AO1004" s="34">
        <f>H1004*0</f>
        <v>0</v>
      </c>
      <c r="AP1004" s="34">
        <f>H1004*(1-0)</f>
        <v>0</v>
      </c>
      <c r="AQ1004" s="65" t="s">
        <v>129</v>
      </c>
      <c r="AV1004" s="34">
        <f>ROUND(AW1004+AX1004,2)</f>
        <v>0</v>
      </c>
      <c r="AW1004" s="34">
        <f>ROUND(G1004*AO1004,2)</f>
        <v>0</v>
      </c>
      <c r="AX1004" s="34">
        <f>ROUND(G1004*AP1004,2)</f>
        <v>0</v>
      </c>
      <c r="AY1004" s="65" t="s">
        <v>1787</v>
      </c>
      <c r="AZ1004" s="65" t="s">
        <v>1550</v>
      </c>
      <c r="BA1004" s="46" t="s">
        <v>136</v>
      </c>
      <c r="BC1004" s="34">
        <f>AW1004+AX1004</f>
        <v>0</v>
      </c>
      <c r="BD1004" s="34">
        <f>H1004/(100-BE1004)*100</f>
        <v>0</v>
      </c>
      <c r="BE1004" s="34">
        <v>0</v>
      </c>
      <c r="BF1004" s="34">
        <f>1004</f>
        <v>1004</v>
      </c>
      <c r="BH1004" s="34">
        <f>G1004*AO1004</f>
        <v>0</v>
      </c>
      <c r="BI1004" s="34">
        <f>G1004*AP1004</f>
        <v>0</v>
      </c>
      <c r="BJ1004" s="34">
        <f>G1004*H1004</f>
        <v>0</v>
      </c>
      <c r="BK1004" s="34"/>
      <c r="BL1004" s="34">
        <v>97</v>
      </c>
      <c r="BW1004" s="34">
        <v>21</v>
      </c>
      <c r="BX1004" s="3" t="s">
        <v>1818</v>
      </c>
    </row>
    <row r="1005" spans="1:76" x14ac:dyDescent="0.25">
      <c r="A1005" s="66"/>
      <c r="D1005" s="67" t="s">
        <v>1819</v>
      </c>
      <c r="E1005" s="67" t="s">
        <v>4</v>
      </c>
      <c r="G1005" s="68">
        <v>780</v>
      </c>
      <c r="K1005" s="59"/>
    </row>
    <row r="1006" spans="1:76" x14ac:dyDescent="0.25">
      <c r="A1006" s="60" t="s">
        <v>4</v>
      </c>
      <c r="B1006" s="61" t="s">
        <v>84</v>
      </c>
      <c r="C1006" s="61" t="s">
        <v>1820</v>
      </c>
      <c r="D1006" s="167" t="s">
        <v>1821</v>
      </c>
      <c r="E1006" s="168"/>
      <c r="F1006" s="62" t="s">
        <v>79</v>
      </c>
      <c r="G1006" s="62" t="s">
        <v>79</v>
      </c>
      <c r="H1006" s="63" t="s">
        <v>79</v>
      </c>
      <c r="I1006" s="39">
        <f>SUM(I1007:I1007)</f>
        <v>0</v>
      </c>
      <c r="J1006" s="46" t="s">
        <v>4</v>
      </c>
      <c r="K1006" s="59"/>
      <c r="AI1006" s="46" t="s">
        <v>84</v>
      </c>
      <c r="AS1006" s="39">
        <f>SUM(AJ1007:AJ1007)</f>
        <v>0</v>
      </c>
      <c r="AT1006" s="39">
        <f>SUM(AK1007:AK1007)</f>
        <v>0</v>
      </c>
      <c r="AU1006" s="39">
        <f>SUM(AL1007:AL1007)</f>
        <v>0</v>
      </c>
    </row>
    <row r="1007" spans="1:76" x14ac:dyDescent="0.25">
      <c r="A1007" s="1" t="s">
        <v>1822</v>
      </c>
      <c r="B1007" s="2" t="s">
        <v>84</v>
      </c>
      <c r="C1007" s="2" t="s">
        <v>1823</v>
      </c>
      <c r="D1007" s="86" t="s">
        <v>1824</v>
      </c>
      <c r="E1007" s="81"/>
      <c r="F1007" s="2" t="s">
        <v>178</v>
      </c>
      <c r="G1007" s="34">
        <v>462.09890999999999</v>
      </c>
      <c r="H1007" s="64">
        <v>0</v>
      </c>
      <c r="I1007" s="34">
        <f>ROUND(G1007*H1007,2)</f>
        <v>0</v>
      </c>
      <c r="J1007" s="65" t="s">
        <v>133</v>
      </c>
      <c r="K1007" s="59"/>
      <c r="Z1007" s="34">
        <f>ROUND(IF(AQ1007="5",BJ1007,0),2)</f>
        <v>0</v>
      </c>
      <c r="AB1007" s="34">
        <f>ROUND(IF(AQ1007="1",BH1007,0),2)</f>
        <v>0</v>
      </c>
      <c r="AC1007" s="34">
        <f>ROUND(IF(AQ1007="1",BI1007,0),2)</f>
        <v>0</v>
      </c>
      <c r="AD1007" s="34">
        <f>ROUND(IF(AQ1007="7",BH1007,0),2)</f>
        <v>0</v>
      </c>
      <c r="AE1007" s="34">
        <f>ROUND(IF(AQ1007="7",BI1007,0),2)</f>
        <v>0</v>
      </c>
      <c r="AF1007" s="34">
        <f>ROUND(IF(AQ1007="2",BH1007,0),2)</f>
        <v>0</v>
      </c>
      <c r="AG1007" s="34">
        <f>ROUND(IF(AQ1007="2",BI1007,0),2)</f>
        <v>0</v>
      </c>
      <c r="AH1007" s="34">
        <f>ROUND(IF(AQ1007="0",BJ1007,0),2)</f>
        <v>0</v>
      </c>
      <c r="AI1007" s="46" t="s">
        <v>84</v>
      </c>
      <c r="AJ1007" s="34">
        <f>IF(AN1007=0,I1007,0)</f>
        <v>0</v>
      </c>
      <c r="AK1007" s="34">
        <f>IF(AN1007=12,I1007,0)</f>
        <v>0</v>
      </c>
      <c r="AL1007" s="34">
        <f>IF(AN1007=21,I1007,0)</f>
        <v>0</v>
      </c>
      <c r="AN1007" s="34">
        <v>21</v>
      </c>
      <c r="AO1007" s="34">
        <f>H1007*0</f>
        <v>0</v>
      </c>
      <c r="AP1007" s="34">
        <f>H1007*(1-0)</f>
        <v>0</v>
      </c>
      <c r="AQ1007" s="65" t="s">
        <v>166</v>
      </c>
      <c r="AV1007" s="34">
        <f>ROUND(AW1007+AX1007,2)</f>
        <v>0</v>
      </c>
      <c r="AW1007" s="34">
        <f>ROUND(G1007*AO1007,2)</f>
        <v>0</v>
      </c>
      <c r="AX1007" s="34">
        <f>ROUND(G1007*AP1007,2)</f>
        <v>0</v>
      </c>
      <c r="AY1007" s="65" t="s">
        <v>1825</v>
      </c>
      <c r="AZ1007" s="65" t="s">
        <v>1550</v>
      </c>
      <c r="BA1007" s="46" t="s">
        <v>136</v>
      </c>
      <c r="BC1007" s="34">
        <f>AW1007+AX1007</f>
        <v>0</v>
      </c>
      <c r="BD1007" s="34">
        <f>H1007/(100-BE1007)*100</f>
        <v>0</v>
      </c>
      <c r="BE1007" s="34">
        <v>0</v>
      </c>
      <c r="BF1007" s="34">
        <f>1007</f>
        <v>1007</v>
      </c>
      <c r="BH1007" s="34">
        <f>G1007*AO1007</f>
        <v>0</v>
      </c>
      <c r="BI1007" s="34">
        <f>G1007*AP1007</f>
        <v>0</v>
      </c>
      <c r="BJ1007" s="34">
        <f>G1007*H1007</f>
        <v>0</v>
      </c>
      <c r="BK1007" s="34"/>
      <c r="BL1007" s="34"/>
      <c r="BW1007" s="34">
        <v>21</v>
      </c>
      <c r="BX1007" s="3" t="s">
        <v>1824</v>
      </c>
    </row>
    <row r="1008" spans="1:76" x14ac:dyDescent="0.25">
      <c r="A1008" s="60" t="s">
        <v>4</v>
      </c>
      <c r="B1008" s="61" t="s">
        <v>84</v>
      </c>
      <c r="C1008" s="61" t="s">
        <v>1826</v>
      </c>
      <c r="D1008" s="167" t="s">
        <v>1827</v>
      </c>
      <c r="E1008" s="168"/>
      <c r="F1008" s="62" t="s">
        <v>79</v>
      </c>
      <c r="G1008" s="62" t="s">
        <v>79</v>
      </c>
      <c r="H1008" s="63" t="s">
        <v>79</v>
      </c>
      <c r="I1008" s="39">
        <f>SUM(I1009:I1012)</f>
        <v>0</v>
      </c>
      <c r="J1008" s="46" t="s">
        <v>4</v>
      </c>
      <c r="K1008" s="59"/>
      <c r="AI1008" s="46" t="s">
        <v>84</v>
      </c>
      <c r="AS1008" s="39">
        <f>SUM(AJ1009:AJ1012)</f>
        <v>0</v>
      </c>
      <c r="AT1008" s="39">
        <f>SUM(AK1009:AK1012)</f>
        <v>0</v>
      </c>
      <c r="AU1008" s="39">
        <f>SUM(AL1009:AL1012)</f>
        <v>0</v>
      </c>
    </row>
    <row r="1009" spans="1:76" x14ac:dyDescent="0.25">
      <c r="A1009" s="1" t="s">
        <v>1828</v>
      </c>
      <c r="B1009" s="2" t="s">
        <v>84</v>
      </c>
      <c r="C1009" s="2" t="s">
        <v>1829</v>
      </c>
      <c r="D1009" s="86" t="s">
        <v>1830</v>
      </c>
      <c r="E1009" s="81"/>
      <c r="F1009" s="2" t="s">
        <v>132</v>
      </c>
      <c r="G1009" s="34">
        <v>9</v>
      </c>
      <c r="H1009" s="64">
        <v>0</v>
      </c>
      <c r="I1009" s="34">
        <f>ROUND(G1009*H1009,2)</f>
        <v>0</v>
      </c>
      <c r="J1009" s="65" t="s">
        <v>133</v>
      </c>
      <c r="K1009" s="59"/>
      <c r="Z1009" s="34">
        <f>ROUND(IF(AQ1009="5",BJ1009,0),2)</f>
        <v>0</v>
      </c>
      <c r="AB1009" s="34">
        <f>ROUND(IF(AQ1009="1",BH1009,0),2)</f>
        <v>0</v>
      </c>
      <c r="AC1009" s="34">
        <f>ROUND(IF(AQ1009="1",BI1009,0),2)</f>
        <v>0</v>
      </c>
      <c r="AD1009" s="34">
        <f>ROUND(IF(AQ1009="7",BH1009,0),2)</f>
        <v>0</v>
      </c>
      <c r="AE1009" s="34">
        <f>ROUND(IF(AQ1009="7",BI1009,0),2)</f>
        <v>0</v>
      </c>
      <c r="AF1009" s="34">
        <f>ROUND(IF(AQ1009="2",BH1009,0),2)</f>
        <v>0</v>
      </c>
      <c r="AG1009" s="34">
        <f>ROUND(IF(AQ1009="2",BI1009,0),2)</f>
        <v>0</v>
      </c>
      <c r="AH1009" s="34">
        <f>ROUND(IF(AQ1009="0",BJ1009,0),2)</f>
        <v>0</v>
      </c>
      <c r="AI1009" s="46" t="s">
        <v>84</v>
      </c>
      <c r="AJ1009" s="34">
        <f>IF(AN1009=0,I1009,0)</f>
        <v>0</v>
      </c>
      <c r="AK1009" s="34">
        <f>IF(AN1009=12,I1009,0)</f>
        <v>0</v>
      </c>
      <c r="AL1009" s="34">
        <f>IF(AN1009=21,I1009,0)</f>
        <v>0</v>
      </c>
      <c r="AN1009" s="34">
        <v>21</v>
      </c>
      <c r="AO1009" s="34">
        <f>H1009*0</f>
        <v>0</v>
      </c>
      <c r="AP1009" s="34">
        <f>H1009*(1-0)</f>
        <v>0</v>
      </c>
      <c r="AQ1009" s="65" t="s">
        <v>140</v>
      </c>
      <c r="AV1009" s="34">
        <f>ROUND(AW1009+AX1009,2)</f>
        <v>0</v>
      </c>
      <c r="AW1009" s="34">
        <f>ROUND(G1009*AO1009,2)</f>
        <v>0</v>
      </c>
      <c r="AX1009" s="34">
        <f>ROUND(G1009*AP1009,2)</f>
        <v>0</v>
      </c>
      <c r="AY1009" s="65" t="s">
        <v>1831</v>
      </c>
      <c r="AZ1009" s="65" t="s">
        <v>1550</v>
      </c>
      <c r="BA1009" s="46" t="s">
        <v>136</v>
      </c>
      <c r="BC1009" s="34">
        <f>AW1009+AX1009</f>
        <v>0</v>
      </c>
      <c r="BD1009" s="34">
        <f>H1009/(100-BE1009)*100</f>
        <v>0</v>
      </c>
      <c r="BE1009" s="34">
        <v>0</v>
      </c>
      <c r="BF1009" s="34">
        <f>1009</f>
        <v>1009</v>
      </c>
      <c r="BH1009" s="34">
        <f>G1009*AO1009</f>
        <v>0</v>
      </c>
      <c r="BI1009" s="34">
        <f>G1009*AP1009</f>
        <v>0</v>
      </c>
      <c r="BJ1009" s="34">
        <f>G1009*H1009</f>
        <v>0</v>
      </c>
      <c r="BK1009" s="34"/>
      <c r="BL1009" s="34"/>
      <c r="BW1009" s="34">
        <v>21</v>
      </c>
      <c r="BX1009" s="3" t="s">
        <v>1830</v>
      </c>
    </row>
    <row r="1010" spans="1:76" ht="13.5" customHeight="1" x14ac:dyDescent="0.25">
      <c r="A1010" s="66"/>
      <c r="C1010" s="69" t="s">
        <v>204</v>
      </c>
      <c r="D1010" s="169" t="s">
        <v>1832</v>
      </c>
      <c r="E1010" s="170"/>
      <c r="F1010" s="170"/>
      <c r="G1010" s="170"/>
      <c r="H1010" s="171"/>
      <c r="I1010" s="170"/>
      <c r="J1010" s="170"/>
      <c r="K1010" s="172"/>
    </row>
    <row r="1011" spans="1:76" x14ac:dyDescent="0.25">
      <c r="A1011" s="66"/>
      <c r="D1011" s="67" t="s">
        <v>189</v>
      </c>
      <c r="E1011" s="67" t="s">
        <v>4</v>
      </c>
      <c r="G1011" s="68">
        <v>9</v>
      </c>
      <c r="K1011" s="59"/>
    </row>
    <row r="1012" spans="1:76" x14ac:dyDescent="0.25">
      <c r="A1012" s="1" t="s">
        <v>1833</v>
      </c>
      <c r="B1012" s="2" t="s">
        <v>84</v>
      </c>
      <c r="C1012" s="2" t="s">
        <v>1834</v>
      </c>
      <c r="D1012" s="86" t="s">
        <v>1835</v>
      </c>
      <c r="E1012" s="81"/>
      <c r="F1012" s="2" t="s">
        <v>239</v>
      </c>
      <c r="G1012" s="34">
        <v>7.8</v>
      </c>
      <c r="H1012" s="64">
        <v>0</v>
      </c>
      <c r="I1012" s="34">
        <f>ROUND(G1012*H1012,2)</f>
        <v>0</v>
      </c>
      <c r="J1012" s="65" t="s">
        <v>133</v>
      </c>
      <c r="K1012" s="59"/>
      <c r="Z1012" s="34">
        <f>ROUND(IF(AQ1012="5",BJ1012,0),2)</f>
        <v>0</v>
      </c>
      <c r="AB1012" s="34">
        <f>ROUND(IF(AQ1012="1",BH1012,0),2)</f>
        <v>0</v>
      </c>
      <c r="AC1012" s="34">
        <f>ROUND(IF(AQ1012="1",BI1012,0),2)</f>
        <v>0</v>
      </c>
      <c r="AD1012" s="34">
        <f>ROUND(IF(AQ1012="7",BH1012,0),2)</f>
        <v>0</v>
      </c>
      <c r="AE1012" s="34">
        <f>ROUND(IF(AQ1012="7",BI1012,0),2)</f>
        <v>0</v>
      </c>
      <c r="AF1012" s="34">
        <f>ROUND(IF(AQ1012="2",BH1012,0),2)</f>
        <v>0</v>
      </c>
      <c r="AG1012" s="34">
        <f>ROUND(IF(AQ1012="2",BI1012,0),2)</f>
        <v>0</v>
      </c>
      <c r="AH1012" s="34">
        <f>ROUND(IF(AQ1012="0",BJ1012,0),2)</f>
        <v>0</v>
      </c>
      <c r="AI1012" s="46" t="s">
        <v>84</v>
      </c>
      <c r="AJ1012" s="34">
        <f>IF(AN1012=0,I1012,0)</f>
        <v>0</v>
      </c>
      <c r="AK1012" s="34">
        <f>IF(AN1012=12,I1012,0)</f>
        <v>0</v>
      </c>
      <c r="AL1012" s="34">
        <f>IF(AN1012=21,I1012,0)</f>
        <v>0</v>
      </c>
      <c r="AN1012" s="34">
        <v>21</v>
      </c>
      <c r="AO1012" s="34">
        <f>H1012*0</f>
        <v>0</v>
      </c>
      <c r="AP1012" s="34">
        <f>H1012*(1-0)</f>
        <v>0</v>
      </c>
      <c r="AQ1012" s="65" t="s">
        <v>140</v>
      </c>
      <c r="AV1012" s="34">
        <f>ROUND(AW1012+AX1012,2)</f>
        <v>0</v>
      </c>
      <c r="AW1012" s="34">
        <f>ROUND(G1012*AO1012,2)</f>
        <v>0</v>
      </c>
      <c r="AX1012" s="34">
        <f>ROUND(G1012*AP1012,2)</f>
        <v>0</v>
      </c>
      <c r="AY1012" s="65" t="s">
        <v>1831</v>
      </c>
      <c r="AZ1012" s="65" t="s">
        <v>1550</v>
      </c>
      <c r="BA1012" s="46" t="s">
        <v>136</v>
      </c>
      <c r="BC1012" s="34">
        <f>AW1012+AX1012</f>
        <v>0</v>
      </c>
      <c r="BD1012" s="34">
        <f>H1012/(100-BE1012)*100</f>
        <v>0</v>
      </c>
      <c r="BE1012" s="34">
        <v>0</v>
      </c>
      <c r="BF1012" s="34">
        <f>1012</f>
        <v>1012</v>
      </c>
      <c r="BH1012" s="34">
        <f>G1012*AO1012</f>
        <v>0</v>
      </c>
      <c r="BI1012" s="34">
        <f>G1012*AP1012</f>
        <v>0</v>
      </c>
      <c r="BJ1012" s="34">
        <f>G1012*H1012</f>
        <v>0</v>
      </c>
      <c r="BK1012" s="34"/>
      <c r="BL1012" s="34"/>
      <c r="BW1012" s="34">
        <v>21</v>
      </c>
      <c r="BX1012" s="3" t="s">
        <v>1835</v>
      </c>
    </row>
    <row r="1013" spans="1:76" ht="13.5" customHeight="1" x14ac:dyDescent="0.25">
      <c r="A1013" s="66"/>
      <c r="C1013" s="69" t="s">
        <v>204</v>
      </c>
      <c r="D1013" s="169" t="s">
        <v>1836</v>
      </c>
      <c r="E1013" s="170"/>
      <c r="F1013" s="170"/>
      <c r="G1013" s="170"/>
      <c r="H1013" s="171"/>
      <c r="I1013" s="170"/>
      <c r="J1013" s="170"/>
      <c r="K1013" s="172"/>
    </row>
    <row r="1014" spans="1:76" x14ac:dyDescent="0.25">
      <c r="A1014" s="66"/>
      <c r="D1014" s="67" t="s">
        <v>1837</v>
      </c>
      <c r="E1014" s="67" t="s">
        <v>4</v>
      </c>
      <c r="G1014" s="68">
        <v>7.8</v>
      </c>
      <c r="K1014" s="59"/>
    </row>
    <row r="1015" spans="1:76" x14ac:dyDescent="0.25">
      <c r="A1015" s="60" t="s">
        <v>4</v>
      </c>
      <c r="B1015" s="61" t="s">
        <v>84</v>
      </c>
      <c r="C1015" s="61" t="s">
        <v>1838</v>
      </c>
      <c r="D1015" s="167" t="s">
        <v>1839</v>
      </c>
      <c r="E1015" s="168"/>
      <c r="F1015" s="62" t="s">
        <v>79</v>
      </c>
      <c r="G1015" s="62" t="s">
        <v>79</v>
      </c>
      <c r="H1015" s="63" t="s">
        <v>79</v>
      </c>
      <c r="I1015" s="39">
        <f>SUM(I1016:I1016)</f>
        <v>0</v>
      </c>
      <c r="J1015" s="46" t="s">
        <v>4</v>
      </c>
      <c r="K1015" s="59"/>
      <c r="AI1015" s="46" t="s">
        <v>84</v>
      </c>
      <c r="AS1015" s="39">
        <f>SUM(AJ1016:AJ1016)</f>
        <v>0</v>
      </c>
      <c r="AT1015" s="39">
        <f>SUM(AK1016:AK1016)</f>
        <v>0</v>
      </c>
      <c r="AU1015" s="39">
        <f>SUM(AL1016:AL1016)</f>
        <v>0</v>
      </c>
    </row>
    <row r="1016" spans="1:76" x14ac:dyDescent="0.25">
      <c r="A1016" s="1" t="s">
        <v>1840</v>
      </c>
      <c r="B1016" s="2" t="s">
        <v>84</v>
      </c>
      <c r="C1016" s="2" t="s">
        <v>1841</v>
      </c>
      <c r="D1016" s="86" t="s">
        <v>1842</v>
      </c>
      <c r="E1016" s="81"/>
      <c r="F1016" s="2" t="s">
        <v>258</v>
      </c>
      <c r="G1016" s="34">
        <v>140</v>
      </c>
      <c r="H1016" s="64">
        <v>0</v>
      </c>
      <c r="I1016" s="34">
        <f>ROUND(G1016*H1016,2)</f>
        <v>0</v>
      </c>
      <c r="J1016" s="65" t="s">
        <v>133</v>
      </c>
      <c r="K1016" s="59"/>
      <c r="Z1016" s="34">
        <f>ROUND(IF(AQ1016="5",BJ1016,0),2)</f>
        <v>0</v>
      </c>
      <c r="AB1016" s="34">
        <f>ROUND(IF(AQ1016="1",BH1016,0),2)</f>
        <v>0</v>
      </c>
      <c r="AC1016" s="34">
        <f>ROUND(IF(AQ1016="1",BI1016,0),2)</f>
        <v>0</v>
      </c>
      <c r="AD1016" s="34">
        <f>ROUND(IF(AQ1016="7",BH1016,0),2)</f>
        <v>0</v>
      </c>
      <c r="AE1016" s="34">
        <f>ROUND(IF(AQ1016="7",BI1016,0),2)</f>
        <v>0</v>
      </c>
      <c r="AF1016" s="34">
        <f>ROUND(IF(AQ1016="2",BH1016,0),2)</f>
        <v>0</v>
      </c>
      <c r="AG1016" s="34">
        <f>ROUND(IF(AQ1016="2",BI1016,0),2)</f>
        <v>0</v>
      </c>
      <c r="AH1016" s="34">
        <f>ROUND(IF(AQ1016="0",BJ1016,0),2)</f>
        <v>0</v>
      </c>
      <c r="AI1016" s="46" t="s">
        <v>84</v>
      </c>
      <c r="AJ1016" s="34">
        <f>IF(AN1016=0,I1016,0)</f>
        <v>0</v>
      </c>
      <c r="AK1016" s="34">
        <f>IF(AN1016=12,I1016,0)</f>
        <v>0</v>
      </c>
      <c r="AL1016" s="34">
        <f>IF(AN1016=21,I1016,0)</f>
        <v>0</v>
      </c>
      <c r="AN1016" s="34">
        <v>21</v>
      </c>
      <c r="AO1016" s="34">
        <f>H1016*0.372425608</f>
        <v>0</v>
      </c>
      <c r="AP1016" s="34">
        <f>H1016*(1-0.372425608)</f>
        <v>0</v>
      </c>
      <c r="AQ1016" s="65" t="s">
        <v>140</v>
      </c>
      <c r="AV1016" s="34">
        <f>ROUND(AW1016+AX1016,2)</f>
        <v>0</v>
      </c>
      <c r="AW1016" s="34">
        <f>ROUND(G1016*AO1016,2)</f>
        <v>0</v>
      </c>
      <c r="AX1016" s="34">
        <f>ROUND(G1016*AP1016,2)</f>
        <v>0</v>
      </c>
      <c r="AY1016" s="65" t="s">
        <v>1843</v>
      </c>
      <c r="AZ1016" s="65" t="s">
        <v>1550</v>
      </c>
      <c r="BA1016" s="46" t="s">
        <v>136</v>
      </c>
      <c r="BC1016" s="34">
        <f>AW1016+AX1016</f>
        <v>0</v>
      </c>
      <c r="BD1016" s="34">
        <f>H1016/(100-BE1016)*100</f>
        <v>0</v>
      </c>
      <c r="BE1016" s="34">
        <v>0</v>
      </c>
      <c r="BF1016" s="34">
        <f>1016</f>
        <v>1016</v>
      </c>
      <c r="BH1016" s="34">
        <f>G1016*AO1016</f>
        <v>0</v>
      </c>
      <c r="BI1016" s="34">
        <f>G1016*AP1016</f>
        <v>0</v>
      </c>
      <c r="BJ1016" s="34">
        <f>G1016*H1016</f>
        <v>0</v>
      </c>
      <c r="BK1016" s="34"/>
      <c r="BL1016" s="34"/>
      <c r="BW1016" s="34">
        <v>21</v>
      </c>
      <c r="BX1016" s="3" t="s">
        <v>1842</v>
      </c>
    </row>
    <row r="1017" spans="1:76" x14ac:dyDescent="0.25">
      <c r="A1017" s="66"/>
      <c r="D1017" s="67" t="s">
        <v>893</v>
      </c>
      <c r="E1017" s="67" t="s">
        <v>1844</v>
      </c>
      <c r="G1017" s="68">
        <v>140</v>
      </c>
      <c r="K1017" s="59"/>
    </row>
    <row r="1018" spans="1:76" x14ac:dyDescent="0.25">
      <c r="A1018" s="60" t="s">
        <v>4</v>
      </c>
      <c r="B1018" s="61" t="s">
        <v>84</v>
      </c>
      <c r="C1018" s="61" t="s">
        <v>1845</v>
      </c>
      <c r="D1018" s="167" t="s">
        <v>1846</v>
      </c>
      <c r="E1018" s="168"/>
      <c r="F1018" s="62" t="s">
        <v>79</v>
      </c>
      <c r="G1018" s="62" t="s">
        <v>79</v>
      </c>
      <c r="H1018" s="63" t="s">
        <v>79</v>
      </c>
      <c r="I1018" s="39">
        <f>SUM(I1019:I1043)</f>
        <v>0</v>
      </c>
      <c r="J1018" s="46" t="s">
        <v>4</v>
      </c>
      <c r="K1018" s="59"/>
      <c r="AI1018" s="46" t="s">
        <v>84</v>
      </c>
      <c r="AS1018" s="39">
        <f>SUM(AJ1019:AJ1043)</f>
        <v>0</v>
      </c>
      <c r="AT1018" s="39">
        <f>SUM(AK1019:AK1043)</f>
        <v>0</v>
      </c>
      <c r="AU1018" s="39">
        <f>SUM(AL1019:AL1043)</f>
        <v>0</v>
      </c>
    </row>
    <row r="1019" spans="1:76" x14ac:dyDescent="0.25">
      <c r="A1019" s="1" t="s">
        <v>1847</v>
      </c>
      <c r="B1019" s="2" t="s">
        <v>84</v>
      </c>
      <c r="C1019" s="2" t="s">
        <v>1848</v>
      </c>
      <c r="D1019" s="86" t="s">
        <v>1849</v>
      </c>
      <c r="E1019" s="81"/>
      <c r="F1019" s="2" t="s">
        <v>178</v>
      </c>
      <c r="G1019" s="34">
        <v>379.81198000000001</v>
      </c>
      <c r="H1019" s="64">
        <v>0</v>
      </c>
      <c r="I1019" s="34">
        <f>ROUND(G1019*H1019,2)</f>
        <v>0</v>
      </c>
      <c r="J1019" s="65" t="s">
        <v>133</v>
      </c>
      <c r="K1019" s="59"/>
      <c r="Z1019" s="34">
        <f>ROUND(IF(AQ1019="5",BJ1019,0),2)</f>
        <v>0</v>
      </c>
      <c r="AB1019" s="34">
        <f>ROUND(IF(AQ1019="1",BH1019,0),2)</f>
        <v>0</v>
      </c>
      <c r="AC1019" s="34">
        <f>ROUND(IF(AQ1019="1",BI1019,0),2)</f>
        <v>0</v>
      </c>
      <c r="AD1019" s="34">
        <f>ROUND(IF(AQ1019="7",BH1019,0),2)</f>
        <v>0</v>
      </c>
      <c r="AE1019" s="34">
        <f>ROUND(IF(AQ1019="7",BI1019,0),2)</f>
        <v>0</v>
      </c>
      <c r="AF1019" s="34">
        <f>ROUND(IF(AQ1019="2",BH1019,0),2)</f>
        <v>0</v>
      </c>
      <c r="AG1019" s="34">
        <f>ROUND(IF(AQ1019="2",BI1019,0),2)</f>
        <v>0</v>
      </c>
      <c r="AH1019" s="34">
        <f>ROUND(IF(AQ1019="0",BJ1019,0),2)</f>
        <v>0</v>
      </c>
      <c r="AI1019" s="46" t="s">
        <v>84</v>
      </c>
      <c r="AJ1019" s="34">
        <f>IF(AN1019=0,I1019,0)</f>
        <v>0</v>
      </c>
      <c r="AK1019" s="34">
        <f>IF(AN1019=12,I1019,0)</f>
        <v>0</v>
      </c>
      <c r="AL1019" s="34">
        <f>IF(AN1019=21,I1019,0)</f>
        <v>0</v>
      </c>
      <c r="AN1019" s="34">
        <v>21</v>
      </c>
      <c r="AO1019" s="34">
        <f>H1019*0</f>
        <v>0</v>
      </c>
      <c r="AP1019" s="34">
        <f>H1019*(1-0)</f>
        <v>0</v>
      </c>
      <c r="AQ1019" s="65" t="s">
        <v>166</v>
      </c>
      <c r="AV1019" s="34">
        <f>ROUND(AW1019+AX1019,2)</f>
        <v>0</v>
      </c>
      <c r="AW1019" s="34">
        <f>ROUND(G1019*AO1019,2)</f>
        <v>0</v>
      </c>
      <c r="AX1019" s="34">
        <f>ROUND(G1019*AP1019,2)</f>
        <v>0</v>
      </c>
      <c r="AY1019" s="65" t="s">
        <v>1850</v>
      </c>
      <c r="AZ1019" s="65" t="s">
        <v>1550</v>
      </c>
      <c r="BA1019" s="46" t="s">
        <v>136</v>
      </c>
      <c r="BC1019" s="34">
        <f>AW1019+AX1019</f>
        <v>0</v>
      </c>
      <c r="BD1019" s="34">
        <f>H1019/(100-BE1019)*100</f>
        <v>0</v>
      </c>
      <c r="BE1019" s="34">
        <v>0</v>
      </c>
      <c r="BF1019" s="34">
        <f>1019</f>
        <v>1019</v>
      </c>
      <c r="BH1019" s="34">
        <f>G1019*AO1019</f>
        <v>0</v>
      </c>
      <c r="BI1019" s="34">
        <f>G1019*AP1019</f>
        <v>0</v>
      </c>
      <c r="BJ1019" s="34">
        <f>G1019*H1019</f>
        <v>0</v>
      </c>
      <c r="BK1019" s="34"/>
      <c r="BL1019" s="34"/>
      <c r="BW1019" s="34">
        <v>21</v>
      </c>
      <c r="BX1019" s="3" t="s">
        <v>1849</v>
      </c>
    </row>
    <row r="1020" spans="1:76" x14ac:dyDescent="0.25">
      <c r="A1020" s="1" t="s">
        <v>1851</v>
      </c>
      <c r="B1020" s="2" t="s">
        <v>84</v>
      </c>
      <c r="C1020" s="2" t="s">
        <v>1852</v>
      </c>
      <c r="D1020" s="86" t="s">
        <v>1853</v>
      </c>
      <c r="E1020" s="81"/>
      <c r="F1020" s="2" t="s">
        <v>178</v>
      </c>
      <c r="G1020" s="34">
        <v>379.81198000000001</v>
      </c>
      <c r="H1020" s="64">
        <v>0</v>
      </c>
      <c r="I1020" s="34">
        <f>ROUND(G1020*H1020,2)</f>
        <v>0</v>
      </c>
      <c r="J1020" s="65" t="s">
        <v>133</v>
      </c>
      <c r="K1020" s="59"/>
      <c r="Z1020" s="34">
        <f>ROUND(IF(AQ1020="5",BJ1020,0),2)</f>
        <v>0</v>
      </c>
      <c r="AB1020" s="34">
        <f>ROUND(IF(AQ1020="1",BH1020,0),2)</f>
        <v>0</v>
      </c>
      <c r="AC1020" s="34">
        <f>ROUND(IF(AQ1020="1",BI1020,0),2)</f>
        <v>0</v>
      </c>
      <c r="AD1020" s="34">
        <f>ROUND(IF(AQ1020="7",BH1020,0),2)</f>
        <v>0</v>
      </c>
      <c r="AE1020" s="34">
        <f>ROUND(IF(AQ1020="7",BI1020,0),2)</f>
        <v>0</v>
      </c>
      <c r="AF1020" s="34">
        <f>ROUND(IF(AQ1020="2",BH1020,0),2)</f>
        <v>0</v>
      </c>
      <c r="AG1020" s="34">
        <f>ROUND(IF(AQ1020="2",BI1020,0),2)</f>
        <v>0</v>
      </c>
      <c r="AH1020" s="34">
        <f>ROUND(IF(AQ1020="0",BJ1020,0),2)</f>
        <v>0</v>
      </c>
      <c r="AI1020" s="46" t="s">
        <v>84</v>
      </c>
      <c r="AJ1020" s="34">
        <f>IF(AN1020=0,I1020,0)</f>
        <v>0</v>
      </c>
      <c r="AK1020" s="34">
        <f>IF(AN1020=12,I1020,0)</f>
        <v>0</v>
      </c>
      <c r="AL1020" s="34">
        <f>IF(AN1020=21,I1020,0)</f>
        <v>0</v>
      </c>
      <c r="AN1020" s="34">
        <v>21</v>
      </c>
      <c r="AO1020" s="34">
        <f>H1020*0</f>
        <v>0</v>
      </c>
      <c r="AP1020" s="34">
        <f>H1020*(1-0)</f>
        <v>0</v>
      </c>
      <c r="AQ1020" s="65" t="s">
        <v>166</v>
      </c>
      <c r="AV1020" s="34">
        <f>ROUND(AW1020+AX1020,2)</f>
        <v>0</v>
      </c>
      <c r="AW1020" s="34">
        <f>ROUND(G1020*AO1020,2)</f>
        <v>0</v>
      </c>
      <c r="AX1020" s="34">
        <f>ROUND(G1020*AP1020,2)</f>
        <v>0</v>
      </c>
      <c r="AY1020" s="65" t="s">
        <v>1850</v>
      </c>
      <c r="AZ1020" s="65" t="s">
        <v>1550</v>
      </c>
      <c r="BA1020" s="46" t="s">
        <v>136</v>
      </c>
      <c r="BC1020" s="34">
        <f>AW1020+AX1020</f>
        <v>0</v>
      </c>
      <c r="BD1020" s="34">
        <f>H1020/(100-BE1020)*100</f>
        <v>0</v>
      </c>
      <c r="BE1020" s="34">
        <v>0</v>
      </c>
      <c r="BF1020" s="34">
        <f>1020</f>
        <v>1020</v>
      </c>
      <c r="BH1020" s="34">
        <f>G1020*AO1020</f>
        <v>0</v>
      </c>
      <c r="BI1020" s="34">
        <f>G1020*AP1020</f>
        <v>0</v>
      </c>
      <c r="BJ1020" s="34">
        <f>G1020*H1020</f>
        <v>0</v>
      </c>
      <c r="BK1020" s="34"/>
      <c r="BL1020" s="34"/>
      <c r="BW1020" s="34">
        <v>21</v>
      </c>
      <c r="BX1020" s="3" t="s">
        <v>1853</v>
      </c>
    </row>
    <row r="1021" spans="1:76" x14ac:dyDescent="0.25">
      <c r="A1021" s="66"/>
      <c r="D1021" s="67" t="s">
        <v>1854</v>
      </c>
      <c r="E1021" s="67" t="s">
        <v>4</v>
      </c>
      <c r="G1021" s="68">
        <v>379.81198000000001</v>
      </c>
      <c r="K1021" s="59"/>
    </row>
    <row r="1022" spans="1:76" x14ac:dyDescent="0.25">
      <c r="A1022" s="1" t="s">
        <v>1855</v>
      </c>
      <c r="B1022" s="2" t="s">
        <v>84</v>
      </c>
      <c r="C1022" s="2" t="s">
        <v>1856</v>
      </c>
      <c r="D1022" s="86" t="s">
        <v>1857</v>
      </c>
      <c r="E1022" s="81"/>
      <c r="F1022" s="2" t="s">
        <v>178</v>
      </c>
      <c r="G1022" s="34">
        <v>393.86</v>
      </c>
      <c r="H1022" s="64">
        <v>0</v>
      </c>
      <c r="I1022" s="34">
        <f>ROUND(G1022*H1022,2)</f>
        <v>0</v>
      </c>
      <c r="J1022" s="65" t="s">
        <v>133</v>
      </c>
      <c r="K1022" s="59"/>
      <c r="Z1022" s="34">
        <f>ROUND(IF(AQ1022="5",BJ1022,0),2)</f>
        <v>0</v>
      </c>
      <c r="AB1022" s="34">
        <f>ROUND(IF(AQ1022="1",BH1022,0),2)</f>
        <v>0</v>
      </c>
      <c r="AC1022" s="34">
        <f>ROUND(IF(AQ1022="1",BI1022,0),2)</f>
        <v>0</v>
      </c>
      <c r="AD1022" s="34">
        <f>ROUND(IF(AQ1022="7",BH1022,0),2)</f>
        <v>0</v>
      </c>
      <c r="AE1022" s="34">
        <f>ROUND(IF(AQ1022="7",BI1022,0),2)</f>
        <v>0</v>
      </c>
      <c r="AF1022" s="34">
        <f>ROUND(IF(AQ1022="2",BH1022,0),2)</f>
        <v>0</v>
      </c>
      <c r="AG1022" s="34">
        <f>ROUND(IF(AQ1022="2",BI1022,0),2)</f>
        <v>0</v>
      </c>
      <c r="AH1022" s="34">
        <f>ROUND(IF(AQ1022="0",BJ1022,0),2)</f>
        <v>0</v>
      </c>
      <c r="AI1022" s="46" t="s">
        <v>84</v>
      </c>
      <c r="AJ1022" s="34">
        <f>IF(AN1022=0,I1022,0)</f>
        <v>0</v>
      </c>
      <c r="AK1022" s="34">
        <f>IF(AN1022=12,I1022,0)</f>
        <v>0</v>
      </c>
      <c r="AL1022" s="34">
        <f>IF(AN1022=21,I1022,0)</f>
        <v>0</v>
      </c>
      <c r="AN1022" s="34">
        <v>21</v>
      </c>
      <c r="AO1022" s="34">
        <f>H1022*0</f>
        <v>0</v>
      </c>
      <c r="AP1022" s="34">
        <f>H1022*(1-0)</f>
        <v>0</v>
      </c>
      <c r="AQ1022" s="65" t="s">
        <v>166</v>
      </c>
      <c r="AV1022" s="34">
        <f>ROUND(AW1022+AX1022,2)</f>
        <v>0</v>
      </c>
      <c r="AW1022" s="34">
        <f>ROUND(G1022*AO1022,2)</f>
        <v>0</v>
      </c>
      <c r="AX1022" s="34">
        <f>ROUND(G1022*AP1022,2)</f>
        <v>0</v>
      </c>
      <c r="AY1022" s="65" t="s">
        <v>1850</v>
      </c>
      <c r="AZ1022" s="65" t="s">
        <v>1550</v>
      </c>
      <c r="BA1022" s="46" t="s">
        <v>136</v>
      </c>
      <c r="BC1022" s="34">
        <f>AW1022+AX1022</f>
        <v>0</v>
      </c>
      <c r="BD1022" s="34">
        <f>H1022/(100-BE1022)*100</f>
        <v>0</v>
      </c>
      <c r="BE1022" s="34">
        <v>0</v>
      </c>
      <c r="BF1022" s="34">
        <f>1022</f>
        <v>1022</v>
      </c>
      <c r="BH1022" s="34">
        <f>G1022*AO1022</f>
        <v>0</v>
      </c>
      <c r="BI1022" s="34">
        <f>G1022*AP1022</f>
        <v>0</v>
      </c>
      <c r="BJ1022" s="34">
        <f>G1022*H1022</f>
        <v>0</v>
      </c>
      <c r="BK1022" s="34"/>
      <c r="BL1022" s="34"/>
      <c r="BW1022" s="34">
        <v>21</v>
      </c>
      <c r="BX1022" s="3" t="s">
        <v>1857</v>
      </c>
    </row>
    <row r="1023" spans="1:76" ht="13.5" customHeight="1" x14ac:dyDescent="0.25">
      <c r="A1023" s="66"/>
      <c r="C1023" s="69" t="s">
        <v>204</v>
      </c>
      <c r="D1023" s="169" t="s">
        <v>1858</v>
      </c>
      <c r="E1023" s="170"/>
      <c r="F1023" s="170"/>
      <c r="G1023" s="170"/>
      <c r="H1023" s="171"/>
      <c r="I1023" s="170"/>
      <c r="J1023" s="170"/>
      <c r="K1023" s="172"/>
    </row>
    <row r="1024" spans="1:76" x14ac:dyDescent="0.25">
      <c r="A1024" s="66"/>
      <c r="D1024" s="67" t="s">
        <v>1859</v>
      </c>
      <c r="E1024" s="67" t="s">
        <v>4</v>
      </c>
      <c r="G1024" s="68">
        <v>393.86</v>
      </c>
      <c r="K1024" s="59"/>
    </row>
    <row r="1025" spans="1:76" x14ac:dyDescent="0.25">
      <c r="A1025" s="1" t="s">
        <v>1860</v>
      </c>
      <c r="B1025" s="2" t="s">
        <v>84</v>
      </c>
      <c r="C1025" s="2" t="s">
        <v>1861</v>
      </c>
      <c r="D1025" s="86" t="s">
        <v>1862</v>
      </c>
      <c r="E1025" s="81"/>
      <c r="F1025" s="2" t="s">
        <v>178</v>
      </c>
      <c r="G1025" s="34">
        <v>393.86</v>
      </c>
      <c r="H1025" s="64">
        <v>0</v>
      </c>
      <c r="I1025" s="34">
        <f>ROUND(G1025*H1025,2)</f>
        <v>0</v>
      </c>
      <c r="J1025" s="65" t="s">
        <v>133</v>
      </c>
      <c r="K1025" s="59"/>
      <c r="Z1025" s="34">
        <f>ROUND(IF(AQ1025="5",BJ1025,0),2)</f>
        <v>0</v>
      </c>
      <c r="AB1025" s="34">
        <f>ROUND(IF(AQ1025="1",BH1025,0),2)</f>
        <v>0</v>
      </c>
      <c r="AC1025" s="34">
        <f>ROUND(IF(AQ1025="1",BI1025,0),2)</f>
        <v>0</v>
      </c>
      <c r="AD1025" s="34">
        <f>ROUND(IF(AQ1025="7",BH1025,0),2)</f>
        <v>0</v>
      </c>
      <c r="AE1025" s="34">
        <f>ROUND(IF(AQ1025="7",BI1025,0),2)</f>
        <v>0</v>
      </c>
      <c r="AF1025" s="34">
        <f>ROUND(IF(AQ1025="2",BH1025,0),2)</f>
        <v>0</v>
      </c>
      <c r="AG1025" s="34">
        <f>ROUND(IF(AQ1025="2",BI1025,0),2)</f>
        <v>0</v>
      </c>
      <c r="AH1025" s="34">
        <f>ROUND(IF(AQ1025="0",BJ1025,0),2)</f>
        <v>0</v>
      </c>
      <c r="AI1025" s="46" t="s">
        <v>84</v>
      </c>
      <c r="AJ1025" s="34">
        <f>IF(AN1025=0,I1025,0)</f>
        <v>0</v>
      </c>
      <c r="AK1025" s="34">
        <f>IF(AN1025=12,I1025,0)</f>
        <v>0</v>
      </c>
      <c r="AL1025" s="34">
        <f>IF(AN1025=21,I1025,0)</f>
        <v>0</v>
      </c>
      <c r="AN1025" s="34">
        <v>21</v>
      </c>
      <c r="AO1025" s="34">
        <f>H1025*0</f>
        <v>0</v>
      </c>
      <c r="AP1025" s="34">
        <f>H1025*(1-0)</f>
        <v>0</v>
      </c>
      <c r="AQ1025" s="65" t="s">
        <v>166</v>
      </c>
      <c r="AV1025" s="34">
        <f>ROUND(AW1025+AX1025,2)</f>
        <v>0</v>
      </c>
      <c r="AW1025" s="34">
        <f>ROUND(G1025*AO1025,2)</f>
        <v>0</v>
      </c>
      <c r="AX1025" s="34">
        <f>ROUND(G1025*AP1025,2)</f>
        <v>0</v>
      </c>
      <c r="AY1025" s="65" t="s">
        <v>1850</v>
      </c>
      <c r="AZ1025" s="65" t="s">
        <v>1550</v>
      </c>
      <c r="BA1025" s="46" t="s">
        <v>136</v>
      </c>
      <c r="BC1025" s="34">
        <f>AW1025+AX1025</f>
        <v>0</v>
      </c>
      <c r="BD1025" s="34">
        <f>H1025/(100-BE1025)*100</f>
        <v>0</v>
      </c>
      <c r="BE1025" s="34">
        <v>0</v>
      </c>
      <c r="BF1025" s="34">
        <f>1025</f>
        <v>1025</v>
      </c>
      <c r="BH1025" s="34">
        <f>G1025*AO1025</f>
        <v>0</v>
      </c>
      <c r="BI1025" s="34">
        <f>G1025*AP1025</f>
        <v>0</v>
      </c>
      <c r="BJ1025" s="34">
        <f>G1025*H1025</f>
        <v>0</v>
      </c>
      <c r="BK1025" s="34"/>
      <c r="BL1025" s="34"/>
      <c r="BW1025" s="34">
        <v>21</v>
      </c>
      <c r="BX1025" s="3" t="s">
        <v>1862</v>
      </c>
    </row>
    <row r="1026" spans="1:76" ht="13.5" customHeight="1" x14ac:dyDescent="0.25">
      <c r="A1026" s="66"/>
      <c r="C1026" s="69" t="s">
        <v>204</v>
      </c>
      <c r="D1026" s="169" t="s">
        <v>1858</v>
      </c>
      <c r="E1026" s="170"/>
      <c r="F1026" s="170"/>
      <c r="G1026" s="170"/>
      <c r="H1026" s="171"/>
      <c r="I1026" s="170"/>
      <c r="J1026" s="170"/>
      <c r="K1026" s="172"/>
    </row>
    <row r="1027" spans="1:76" x14ac:dyDescent="0.25">
      <c r="A1027" s="66"/>
      <c r="D1027" s="67" t="s">
        <v>1863</v>
      </c>
      <c r="E1027" s="67" t="s">
        <v>1864</v>
      </c>
      <c r="G1027" s="68">
        <v>393.86</v>
      </c>
      <c r="K1027" s="59"/>
    </row>
    <row r="1028" spans="1:76" x14ac:dyDescent="0.25">
      <c r="A1028" s="1" t="s">
        <v>1865</v>
      </c>
      <c r="B1028" s="2" t="s">
        <v>84</v>
      </c>
      <c r="C1028" s="2" t="s">
        <v>1848</v>
      </c>
      <c r="D1028" s="86" t="s">
        <v>1849</v>
      </c>
      <c r="E1028" s="81"/>
      <c r="F1028" s="2" t="s">
        <v>178</v>
      </c>
      <c r="G1028" s="34">
        <v>393.86</v>
      </c>
      <c r="H1028" s="64">
        <v>0</v>
      </c>
      <c r="I1028" s="34">
        <f>ROUND(G1028*H1028,2)</f>
        <v>0</v>
      </c>
      <c r="J1028" s="65" t="s">
        <v>133</v>
      </c>
      <c r="K1028" s="59"/>
      <c r="Z1028" s="34">
        <f>ROUND(IF(AQ1028="5",BJ1028,0),2)</f>
        <v>0</v>
      </c>
      <c r="AB1028" s="34">
        <f>ROUND(IF(AQ1028="1",BH1028,0),2)</f>
        <v>0</v>
      </c>
      <c r="AC1028" s="34">
        <f>ROUND(IF(AQ1028="1",BI1028,0),2)</f>
        <v>0</v>
      </c>
      <c r="AD1028" s="34">
        <f>ROUND(IF(AQ1028="7",BH1028,0),2)</f>
        <v>0</v>
      </c>
      <c r="AE1028" s="34">
        <f>ROUND(IF(AQ1028="7",BI1028,0),2)</f>
        <v>0</v>
      </c>
      <c r="AF1028" s="34">
        <f>ROUND(IF(AQ1028="2",BH1028,0),2)</f>
        <v>0</v>
      </c>
      <c r="AG1028" s="34">
        <f>ROUND(IF(AQ1028="2",BI1028,0),2)</f>
        <v>0</v>
      </c>
      <c r="AH1028" s="34">
        <f>ROUND(IF(AQ1028="0",BJ1028,0),2)</f>
        <v>0</v>
      </c>
      <c r="AI1028" s="46" t="s">
        <v>84</v>
      </c>
      <c r="AJ1028" s="34">
        <f>IF(AN1028=0,I1028,0)</f>
        <v>0</v>
      </c>
      <c r="AK1028" s="34">
        <f>IF(AN1028=12,I1028,0)</f>
        <v>0</v>
      </c>
      <c r="AL1028" s="34">
        <f>IF(AN1028=21,I1028,0)</f>
        <v>0</v>
      </c>
      <c r="AN1028" s="34">
        <v>21</v>
      </c>
      <c r="AO1028" s="34">
        <f>H1028*0</f>
        <v>0</v>
      </c>
      <c r="AP1028" s="34">
        <f>H1028*(1-0)</f>
        <v>0</v>
      </c>
      <c r="AQ1028" s="65" t="s">
        <v>166</v>
      </c>
      <c r="AV1028" s="34">
        <f>ROUND(AW1028+AX1028,2)</f>
        <v>0</v>
      </c>
      <c r="AW1028" s="34">
        <f>ROUND(G1028*AO1028,2)</f>
        <v>0</v>
      </c>
      <c r="AX1028" s="34">
        <f>ROUND(G1028*AP1028,2)</f>
        <v>0</v>
      </c>
      <c r="AY1028" s="65" t="s">
        <v>1850</v>
      </c>
      <c r="AZ1028" s="65" t="s">
        <v>1550</v>
      </c>
      <c r="BA1028" s="46" t="s">
        <v>136</v>
      </c>
      <c r="BC1028" s="34">
        <f>AW1028+AX1028</f>
        <v>0</v>
      </c>
      <c r="BD1028" s="34">
        <f>H1028/(100-BE1028)*100</f>
        <v>0</v>
      </c>
      <c r="BE1028" s="34">
        <v>0</v>
      </c>
      <c r="BF1028" s="34">
        <f>1028</f>
        <v>1028</v>
      </c>
      <c r="BH1028" s="34">
        <f>G1028*AO1028</f>
        <v>0</v>
      </c>
      <c r="BI1028" s="34">
        <f>G1028*AP1028</f>
        <v>0</v>
      </c>
      <c r="BJ1028" s="34">
        <f>G1028*H1028</f>
        <v>0</v>
      </c>
      <c r="BK1028" s="34"/>
      <c r="BL1028" s="34"/>
      <c r="BW1028" s="34">
        <v>21</v>
      </c>
      <c r="BX1028" s="3" t="s">
        <v>1849</v>
      </c>
    </row>
    <row r="1029" spans="1:76" x14ac:dyDescent="0.25">
      <c r="A1029" s="66"/>
      <c r="D1029" s="67" t="s">
        <v>1863</v>
      </c>
      <c r="E1029" s="67" t="s">
        <v>4</v>
      </c>
      <c r="G1029" s="68">
        <v>393.86</v>
      </c>
      <c r="K1029" s="59"/>
    </row>
    <row r="1030" spans="1:76" x14ac:dyDescent="0.25">
      <c r="A1030" s="1" t="s">
        <v>1866</v>
      </c>
      <c r="B1030" s="2" t="s">
        <v>84</v>
      </c>
      <c r="C1030" s="2" t="s">
        <v>1867</v>
      </c>
      <c r="D1030" s="86" t="s">
        <v>1868</v>
      </c>
      <c r="E1030" s="81"/>
      <c r="F1030" s="2" t="s">
        <v>178</v>
      </c>
      <c r="G1030" s="34">
        <v>393.86</v>
      </c>
      <c r="H1030" s="64">
        <v>0</v>
      </c>
      <c r="I1030" s="34">
        <f>ROUND(G1030*H1030,2)</f>
        <v>0</v>
      </c>
      <c r="J1030" s="65" t="s">
        <v>133</v>
      </c>
      <c r="K1030" s="59"/>
      <c r="Z1030" s="34">
        <f>ROUND(IF(AQ1030="5",BJ1030,0),2)</f>
        <v>0</v>
      </c>
      <c r="AB1030" s="34">
        <f>ROUND(IF(AQ1030="1",BH1030,0),2)</f>
        <v>0</v>
      </c>
      <c r="AC1030" s="34">
        <f>ROUND(IF(AQ1030="1",BI1030,0),2)</f>
        <v>0</v>
      </c>
      <c r="AD1030" s="34">
        <f>ROUND(IF(AQ1030="7",BH1030,0),2)</f>
        <v>0</v>
      </c>
      <c r="AE1030" s="34">
        <f>ROUND(IF(AQ1030="7",BI1030,0),2)</f>
        <v>0</v>
      </c>
      <c r="AF1030" s="34">
        <f>ROUND(IF(AQ1030="2",BH1030,0),2)</f>
        <v>0</v>
      </c>
      <c r="AG1030" s="34">
        <f>ROUND(IF(AQ1030="2",BI1030,0),2)</f>
        <v>0</v>
      </c>
      <c r="AH1030" s="34">
        <f>ROUND(IF(AQ1030="0",BJ1030,0),2)</f>
        <v>0</v>
      </c>
      <c r="AI1030" s="46" t="s">
        <v>84</v>
      </c>
      <c r="AJ1030" s="34">
        <f>IF(AN1030=0,I1030,0)</f>
        <v>0</v>
      </c>
      <c r="AK1030" s="34">
        <f>IF(AN1030=12,I1030,0)</f>
        <v>0</v>
      </c>
      <c r="AL1030" s="34">
        <f>IF(AN1030=21,I1030,0)</f>
        <v>0</v>
      </c>
      <c r="AN1030" s="34">
        <v>21</v>
      </c>
      <c r="AO1030" s="34">
        <f>H1030*0</f>
        <v>0</v>
      </c>
      <c r="AP1030" s="34">
        <f>H1030*(1-0)</f>
        <v>0</v>
      </c>
      <c r="AQ1030" s="65" t="s">
        <v>166</v>
      </c>
      <c r="AV1030" s="34">
        <f>ROUND(AW1030+AX1030,2)</f>
        <v>0</v>
      </c>
      <c r="AW1030" s="34">
        <f>ROUND(G1030*AO1030,2)</f>
        <v>0</v>
      </c>
      <c r="AX1030" s="34">
        <f>ROUND(G1030*AP1030,2)</f>
        <v>0</v>
      </c>
      <c r="AY1030" s="65" t="s">
        <v>1850</v>
      </c>
      <c r="AZ1030" s="65" t="s">
        <v>1550</v>
      </c>
      <c r="BA1030" s="46" t="s">
        <v>136</v>
      </c>
      <c r="BC1030" s="34">
        <f>AW1030+AX1030</f>
        <v>0</v>
      </c>
      <c r="BD1030" s="34">
        <f>H1030/(100-BE1030)*100</f>
        <v>0</v>
      </c>
      <c r="BE1030" s="34">
        <v>0</v>
      </c>
      <c r="BF1030" s="34">
        <f>1030</f>
        <v>1030</v>
      </c>
      <c r="BH1030" s="34">
        <f>G1030*AO1030</f>
        <v>0</v>
      </c>
      <c r="BI1030" s="34">
        <f>G1030*AP1030</f>
        <v>0</v>
      </c>
      <c r="BJ1030" s="34">
        <f>G1030*H1030</f>
        <v>0</v>
      </c>
      <c r="BK1030" s="34"/>
      <c r="BL1030" s="34"/>
      <c r="BW1030" s="34">
        <v>21</v>
      </c>
      <c r="BX1030" s="3" t="s">
        <v>1868</v>
      </c>
    </row>
    <row r="1031" spans="1:76" x14ac:dyDescent="0.25">
      <c r="A1031" s="66"/>
      <c r="D1031" s="67" t="s">
        <v>1863</v>
      </c>
      <c r="E1031" s="67" t="s">
        <v>4</v>
      </c>
      <c r="G1031" s="68">
        <v>393.86</v>
      </c>
      <c r="K1031" s="59"/>
    </row>
    <row r="1032" spans="1:76" x14ac:dyDescent="0.25">
      <c r="A1032" s="1" t="s">
        <v>1869</v>
      </c>
      <c r="B1032" s="2" t="s">
        <v>84</v>
      </c>
      <c r="C1032" s="2" t="s">
        <v>1870</v>
      </c>
      <c r="D1032" s="86" t="s">
        <v>1871</v>
      </c>
      <c r="E1032" s="81"/>
      <c r="F1032" s="2" t="s">
        <v>178</v>
      </c>
      <c r="G1032" s="34">
        <v>393.86</v>
      </c>
      <c r="H1032" s="64">
        <v>0</v>
      </c>
      <c r="I1032" s="34">
        <f>ROUND(G1032*H1032,2)</f>
        <v>0</v>
      </c>
      <c r="J1032" s="65" t="s">
        <v>133</v>
      </c>
      <c r="K1032" s="59"/>
      <c r="Z1032" s="34">
        <f>ROUND(IF(AQ1032="5",BJ1032,0),2)</f>
        <v>0</v>
      </c>
      <c r="AB1032" s="34">
        <f>ROUND(IF(AQ1032="1",BH1032,0),2)</f>
        <v>0</v>
      </c>
      <c r="AC1032" s="34">
        <f>ROUND(IF(AQ1032="1",BI1032,0),2)</f>
        <v>0</v>
      </c>
      <c r="AD1032" s="34">
        <f>ROUND(IF(AQ1032="7",BH1032,0),2)</f>
        <v>0</v>
      </c>
      <c r="AE1032" s="34">
        <f>ROUND(IF(AQ1032="7",BI1032,0),2)</f>
        <v>0</v>
      </c>
      <c r="AF1032" s="34">
        <f>ROUND(IF(AQ1032="2",BH1032,0),2)</f>
        <v>0</v>
      </c>
      <c r="AG1032" s="34">
        <f>ROUND(IF(AQ1032="2",BI1032,0),2)</f>
        <v>0</v>
      </c>
      <c r="AH1032" s="34">
        <f>ROUND(IF(AQ1032="0",BJ1032,0),2)</f>
        <v>0</v>
      </c>
      <c r="AI1032" s="46" t="s">
        <v>84</v>
      </c>
      <c r="AJ1032" s="34">
        <f>IF(AN1032=0,I1032,0)</f>
        <v>0</v>
      </c>
      <c r="AK1032" s="34">
        <f>IF(AN1032=12,I1032,0)</f>
        <v>0</v>
      </c>
      <c r="AL1032" s="34">
        <f>IF(AN1032=21,I1032,0)</f>
        <v>0</v>
      </c>
      <c r="AN1032" s="34">
        <v>21</v>
      </c>
      <c r="AO1032" s="34">
        <f>H1032*0</f>
        <v>0</v>
      </c>
      <c r="AP1032" s="34">
        <f>H1032*(1-0)</f>
        <v>0</v>
      </c>
      <c r="AQ1032" s="65" t="s">
        <v>166</v>
      </c>
      <c r="AV1032" s="34">
        <f>ROUND(AW1032+AX1032,2)</f>
        <v>0</v>
      </c>
      <c r="AW1032" s="34">
        <f>ROUND(G1032*AO1032,2)</f>
        <v>0</v>
      </c>
      <c r="AX1032" s="34">
        <f>ROUND(G1032*AP1032,2)</f>
        <v>0</v>
      </c>
      <c r="AY1032" s="65" t="s">
        <v>1850</v>
      </c>
      <c r="AZ1032" s="65" t="s">
        <v>1550</v>
      </c>
      <c r="BA1032" s="46" t="s">
        <v>136</v>
      </c>
      <c r="BC1032" s="34">
        <f>AW1032+AX1032</f>
        <v>0</v>
      </c>
      <c r="BD1032" s="34">
        <f>H1032/(100-BE1032)*100</f>
        <v>0</v>
      </c>
      <c r="BE1032" s="34">
        <v>0</v>
      </c>
      <c r="BF1032" s="34">
        <f>1032</f>
        <v>1032</v>
      </c>
      <c r="BH1032" s="34">
        <f>G1032*AO1032</f>
        <v>0</v>
      </c>
      <c r="BI1032" s="34">
        <f>G1032*AP1032</f>
        <v>0</v>
      </c>
      <c r="BJ1032" s="34">
        <f>G1032*H1032</f>
        <v>0</v>
      </c>
      <c r="BK1032" s="34"/>
      <c r="BL1032" s="34"/>
      <c r="BW1032" s="34">
        <v>21</v>
      </c>
      <c r="BX1032" s="3" t="s">
        <v>1871</v>
      </c>
    </row>
    <row r="1033" spans="1:76" x14ac:dyDescent="0.25">
      <c r="A1033" s="66"/>
      <c r="D1033" s="67" t="s">
        <v>1863</v>
      </c>
      <c r="E1033" s="67" t="s">
        <v>4</v>
      </c>
      <c r="G1033" s="68">
        <v>393.86</v>
      </c>
      <c r="K1033" s="59"/>
    </row>
    <row r="1034" spans="1:76" x14ac:dyDescent="0.25">
      <c r="A1034" s="1" t="s">
        <v>1872</v>
      </c>
      <c r="B1034" s="2" t="s">
        <v>84</v>
      </c>
      <c r="C1034" s="2" t="s">
        <v>1873</v>
      </c>
      <c r="D1034" s="86" t="s">
        <v>1874</v>
      </c>
      <c r="E1034" s="81"/>
      <c r="F1034" s="2" t="s">
        <v>178</v>
      </c>
      <c r="G1034" s="34">
        <v>3.29</v>
      </c>
      <c r="H1034" s="64">
        <v>0</v>
      </c>
      <c r="I1034" s="34">
        <f>ROUND(G1034*H1034,2)</f>
        <v>0</v>
      </c>
      <c r="J1034" s="65" t="s">
        <v>133</v>
      </c>
      <c r="K1034" s="59"/>
      <c r="Z1034" s="34">
        <f>ROUND(IF(AQ1034="5",BJ1034,0),2)</f>
        <v>0</v>
      </c>
      <c r="AB1034" s="34">
        <f>ROUND(IF(AQ1034="1",BH1034,0),2)</f>
        <v>0</v>
      </c>
      <c r="AC1034" s="34">
        <f>ROUND(IF(AQ1034="1",BI1034,0),2)</f>
        <v>0</v>
      </c>
      <c r="AD1034" s="34">
        <f>ROUND(IF(AQ1034="7",BH1034,0),2)</f>
        <v>0</v>
      </c>
      <c r="AE1034" s="34">
        <f>ROUND(IF(AQ1034="7",BI1034,0),2)</f>
        <v>0</v>
      </c>
      <c r="AF1034" s="34">
        <f>ROUND(IF(AQ1034="2",BH1034,0),2)</f>
        <v>0</v>
      </c>
      <c r="AG1034" s="34">
        <f>ROUND(IF(AQ1034="2",BI1034,0),2)</f>
        <v>0</v>
      </c>
      <c r="AH1034" s="34">
        <f>ROUND(IF(AQ1034="0",BJ1034,0),2)</f>
        <v>0</v>
      </c>
      <c r="AI1034" s="46" t="s">
        <v>84</v>
      </c>
      <c r="AJ1034" s="34">
        <f>IF(AN1034=0,I1034,0)</f>
        <v>0</v>
      </c>
      <c r="AK1034" s="34">
        <f>IF(AN1034=12,I1034,0)</f>
        <v>0</v>
      </c>
      <c r="AL1034" s="34">
        <f>IF(AN1034=21,I1034,0)</f>
        <v>0</v>
      </c>
      <c r="AN1034" s="34">
        <v>21</v>
      </c>
      <c r="AO1034" s="34">
        <f>H1034*0</f>
        <v>0</v>
      </c>
      <c r="AP1034" s="34">
        <f>H1034*(1-0)</f>
        <v>0</v>
      </c>
      <c r="AQ1034" s="65" t="s">
        <v>166</v>
      </c>
      <c r="AV1034" s="34">
        <f>ROUND(AW1034+AX1034,2)</f>
        <v>0</v>
      </c>
      <c r="AW1034" s="34">
        <f>ROUND(G1034*AO1034,2)</f>
        <v>0</v>
      </c>
      <c r="AX1034" s="34">
        <f>ROUND(G1034*AP1034,2)</f>
        <v>0</v>
      </c>
      <c r="AY1034" s="65" t="s">
        <v>1850</v>
      </c>
      <c r="AZ1034" s="65" t="s">
        <v>1550</v>
      </c>
      <c r="BA1034" s="46" t="s">
        <v>136</v>
      </c>
      <c r="BC1034" s="34">
        <f>AW1034+AX1034</f>
        <v>0</v>
      </c>
      <c r="BD1034" s="34">
        <f>H1034/(100-BE1034)*100</f>
        <v>0</v>
      </c>
      <c r="BE1034" s="34">
        <v>0</v>
      </c>
      <c r="BF1034" s="34">
        <f>1034</f>
        <v>1034</v>
      </c>
      <c r="BH1034" s="34">
        <f>G1034*AO1034</f>
        <v>0</v>
      </c>
      <c r="BI1034" s="34">
        <f>G1034*AP1034</f>
        <v>0</v>
      </c>
      <c r="BJ1034" s="34">
        <f>G1034*H1034</f>
        <v>0</v>
      </c>
      <c r="BK1034" s="34"/>
      <c r="BL1034" s="34"/>
      <c r="BW1034" s="34">
        <v>21</v>
      </c>
      <c r="BX1034" s="3" t="s">
        <v>1874</v>
      </c>
    </row>
    <row r="1035" spans="1:76" x14ac:dyDescent="0.25">
      <c r="A1035" s="66"/>
      <c r="D1035" s="67" t="s">
        <v>1875</v>
      </c>
      <c r="E1035" s="67" t="s">
        <v>4</v>
      </c>
      <c r="G1035" s="68">
        <v>3.01</v>
      </c>
      <c r="K1035" s="59"/>
    </row>
    <row r="1036" spans="1:76" x14ac:dyDescent="0.25">
      <c r="A1036" s="66"/>
      <c r="D1036" s="67" t="s">
        <v>1876</v>
      </c>
      <c r="E1036" s="67" t="s">
        <v>1877</v>
      </c>
      <c r="G1036" s="68">
        <v>0.28000000000000003</v>
      </c>
      <c r="K1036" s="59"/>
    </row>
    <row r="1037" spans="1:76" x14ac:dyDescent="0.25">
      <c r="A1037" s="1" t="s">
        <v>1878</v>
      </c>
      <c r="B1037" s="2" t="s">
        <v>84</v>
      </c>
      <c r="C1037" s="2" t="s">
        <v>1879</v>
      </c>
      <c r="D1037" s="86" t="s">
        <v>1880</v>
      </c>
      <c r="E1037" s="81"/>
      <c r="F1037" s="2" t="s">
        <v>178</v>
      </c>
      <c r="G1037" s="34">
        <v>377.98937999999998</v>
      </c>
      <c r="H1037" s="64">
        <v>0</v>
      </c>
      <c r="I1037" s="34">
        <f t="shared" ref="I1037:I1043" si="0">ROUND(G1037*H1037,2)</f>
        <v>0</v>
      </c>
      <c r="J1037" s="65" t="s">
        <v>133</v>
      </c>
      <c r="K1037" s="59"/>
      <c r="Z1037" s="34">
        <f t="shared" ref="Z1037:Z1043" si="1">ROUND(IF(AQ1037="5",BJ1037,0),2)</f>
        <v>0</v>
      </c>
      <c r="AB1037" s="34">
        <f t="shared" ref="AB1037:AB1043" si="2">ROUND(IF(AQ1037="1",BH1037,0),2)</f>
        <v>0</v>
      </c>
      <c r="AC1037" s="34">
        <f t="shared" ref="AC1037:AC1043" si="3">ROUND(IF(AQ1037="1",BI1037,0),2)</f>
        <v>0</v>
      </c>
      <c r="AD1037" s="34">
        <f t="shared" ref="AD1037:AD1043" si="4">ROUND(IF(AQ1037="7",BH1037,0),2)</f>
        <v>0</v>
      </c>
      <c r="AE1037" s="34">
        <f t="shared" ref="AE1037:AE1043" si="5">ROUND(IF(AQ1037="7",BI1037,0),2)</f>
        <v>0</v>
      </c>
      <c r="AF1037" s="34">
        <f t="shared" ref="AF1037:AF1043" si="6">ROUND(IF(AQ1037="2",BH1037,0),2)</f>
        <v>0</v>
      </c>
      <c r="AG1037" s="34">
        <f t="shared" ref="AG1037:AG1043" si="7">ROUND(IF(AQ1037="2",BI1037,0),2)</f>
        <v>0</v>
      </c>
      <c r="AH1037" s="34">
        <f t="shared" ref="AH1037:AH1043" si="8">ROUND(IF(AQ1037="0",BJ1037,0),2)</f>
        <v>0</v>
      </c>
      <c r="AI1037" s="46" t="s">
        <v>84</v>
      </c>
      <c r="AJ1037" s="34">
        <f t="shared" ref="AJ1037:AJ1043" si="9">IF(AN1037=0,I1037,0)</f>
        <v>0</v>
      </c>
      <c r="AK1037" s="34">
        <f t="shared" ref="AK1037:AK1043" si="10">IF(AN1037=12,I1037,0)</f>
        <v>0</v>
      </c>
      <c r="AL1037" s="34">
        <f t="shared" ref="AL1037:AL1043" si="11">IF(AN1037=21,I1037,0)</f>
        <v>0</v>
      </c>
      <c r="AN1037" s="34">
        <v>21</v>
      </c>
      <c r="AO1037" s="34">
        <f t="shared" ref="AO1037:AO1043" si="12">H1037*0</f>
        <v>0</v>
      </c>
      <c r="AP1037" s="34">
        <f t="shared" ref="AP1037:AP1043" si="13">H1037*(1-0)</f>
        <v>0</v>
      </c>
      <c r="AQ1037" s="65" t="s">
        <v>166</v>
      </c>
      <c r="AV1037" s="34">
        <f t="shared" ref="AV1037:AV1043" si="14">ROUND(AW1037+AX1037,2)</f>
        <v>0</v>
      </c>
      <c r="AW1037" s="34">
        <f t="shared" ref="AW1037:AW1043" si="15">ROUND(G1037*AO1037,2)</f>
        <v>0</v>
      </c>
      <c r="AX1037" s="34">
        <f t="shared" ref="AX1037:AX1043" si="16">ROUND(G1037*AP1037,2)</f>
        <v>0</v>
      </c>
      <c r="AY1037" s="65" t="s">
        <v>1850</v>
      </c>
      <c r="AZ1037" s="65" t="s">
        <v>1550</v>
      </c>
      <c r="BA1037" s="46" t="s">
        <v>136</v>
      </c>
      <c r="BC1037" s="34">
        <f t="shared" ref="BC1037:BC1043" si="17">AW1037+AX1037</f>
        <v>0</v>
      </c>
      <c r="BD1037" s="34">
        <f t="shared" ref="BD1037:BD1043" si="18">H1037/(100-BE1037)*100</f>
        <v>0</v>
      </c>
      <c r="BE1037" s="34">
        <v>0</v>
      </c>
      <c r="BF1037" s="34">
        <f>1037</f>
        <v>1037</v>
      </c>
      <c r="BH1037" s="34">
        <f t="shared" ref="BH1037:BH1043" si="19">G1037*AO1037</f>
        <v>0</v>
      </c>
      <c r="BI1037" s="34">
        <f t="shared" ref="BI1037:BI1043" si="20">G1037*AP1037</f>
        <v>0</v>
      </c>
      <c r="BJ1037" s="34">
        <f t="shared" ref="BJ1037:BJ1043" si="21">G1037*H1037</f>
        <v>0</v>
      </c>
      <c r="BK1037" s="34"/>
      <c r="BL1037" s="34"/>
      <c r="BW1037" s="34">
        <v>21</v>
      </c>
      <c r="BX1037" s="3" t="s">
        <v>1880</v>
      </c>
    </row>
    <row r="1038" spans="1:76" x14ac:dyDescent="0.25">
      <c r="A1038" s="1" t="s">
        <v>1881</v>
      </c>
      <c r="B1038" s="2" t="s">
        <v>84</v>
      </c>
      <c r="C1038" s="2" t="s">
        <v>1882</v>
      </c>
      <c r="D1038" s="86" t="s">
        <v>1883</v>
      </c>
      <c r="E1038" s="81"/>
      <c r="F1038" s="2" t="s">
        <v>178</v>
      </c>
      <c r="G1038" s="34">
        <v>0.15873000000000001</v>
      </c>
      <c r="H1038" s="64">
        <v>0</v>
      </c>
      <c r="I1038" s="34">
        <f t="shared" si="0"/>
        <v>0</v>
      </c>
      <c r="J1038" s="65" t="s">
        <v>133</v>
      </c>
      <c r="K1038" s="59"/>
      <c r="Z1038" s="34">
        <f t="shared" si="1"/>
        <v>0</v>
      </c>
      <c r="AB1038" s="34">
        <f t="shared" si="2"/>
        <v>0</v>
      </c>
      <c r="AC1038" s="34">
        <f t="shared" si="3"/>
        <v>0</v>
      </c>
      <c r="AD1038" s="34">
        <f t="shared" si="4"/>
        <v>0</v>
      </c>
      <c r="AE1038" s="34">
        <f t="shared" si="5"/>
        <v>0</v>
      </c>
      <c r="AF1038" s="34">
        <f t="shared" si="6"/>
        <v>0</v>
      </c>
      <c r="AG1038" s="34">
        <f t="shared" si="7"/>
        <v>0</v>
      </c>
      <c r="AH1038" s="34">
        <f t="shared" si="8"/>
        <v>0</v>
      </c>
      <c r="AI1038" s="46" t="s">
        <v>84</v>
      </c>
      <c r="AJ1038" s="34">
        <f t="shared" si="9"/>
        <v>0</v>
      </c>
      <c r="AK1038" s="34">
        <f t="shared" si="10"/>
        <v>0</v>
      </c>
      <c r="AL1038" s="34">
        <f t="shared" si="11"/>
        <v>0</v>
      </c>
      <c r="AN1038" s="34">
        <v>21</v>
      </c>
      <c r="AO1038" s="34">
        <f t="shared" si="12"/>
        <v>0</v>
      </c>
      <c r="AP1038" s="34">
        <f t="shared" si="13"/>
        <v>0</v>
      </c>
      <c r="AQ1038" s="65" t="s">
        <v>166</v>
      </c>
      <c r="AV1038" s="34">
        <f t="shared" si="14"/>
        <v>0</v>
      </c>
      <c r="AW1038" s="34">
        <f t="shared" si="15"/>
        <v>0</v>
      </c>
      <c r="AX1038" s="34">
        <f t="shared" si="16"/>
        <v>0</v>
      </c>
      <c r="AY1038" s="65" t="s">
        <v>1850</v>
      </c>
      <c r="AZ1038" s="65" t="s">
        <v>1550</v>
      </c>
      <c r="BA1038" s="46" t="s">
        <v>136</v>
      </c>
      <c r="BC1038" s="34">
        <f t="shared" si="17"/>
        <v>0</v>
      </c>
      <c r="BD1038" s="34">
        <f t="shared" si="18"/>
        <v>0</v>
      </c>
      <c r="BE1038" s="34">
        <v>0</v>
      </c>
      <c r="BF1038" s="34">
        <f>1038</f>
        <v>1038</v>
      </c>
      <c r="BH1038" s="34">
        <f t="shared" si="19"/>
        <v>0</v>
      </c>
      <c r="BI1038" s="34">
        <f t="shared" si="20"/>
        <v>0</v>
      </c>
      <c r="BJ1038" s="34">
        <f t="shared" si="21"/>
        <v>0</v>
      </c>
      <c r="BK1038" s="34"/>
      <c r="BL1038" s="34"/>
      <c r="BW1038" s="34">
        <v>21</v>
      </c>
      <c r="BX1038" s="3" t="s">
        <v>1883</v>
      </c>
    </row>
    <row r="1039" spans="1:76" x14ac:dyDescent="0.25">
      <c r="A1039" s="1" t="s">
        <v>1884</v>
      </c>
      <c r="B1039" s="2" t="s">
        <v>84</v>
      </c>
      <c r="C1039" s="2" t="s">
        <v>1885</v>
      </c>
      <c r="D1039" s="86" t="s">
        <v>1886</v>
      </c>
      <c r="E1039" s="81"/>
      <c r="F1039" s="2" t="s">
        <v>178</v>
      </c>
      <c r="G1039" s="34">
        <v>1.90781</v>
      </c>
      <c r="H1039" s="64">
        <v>0</v>
      </c>
      <c r="I1039" s="34">
        <f t="shared" si="0"/>
        <v>0</v>
      </c>
      <c r="J1039" s="65" t="s">
        <v>133</v>
      </c>
      <c r="K1039" s="59"/>
      <c r="Z1039" s="34">
        <f t="shared" si="1"/>
        <v>0</v>
      </c>
      <c r="AB1039" s="34">
        <f t="shared" si="2"/>
        <v>0</v>
      </c>
      <c r="AC1039" s="34">
        <f t="shared" si="3"/>
        <v>0</v>
      </c>
      <c r="AD1039" s="34">
        <f t="shared" si="4"/>
        <v>0</v>
      </c>
      <c r="AE1039" s="34">
        <f t="shared" si="5"/>
        <v>0</v>
      </c>
      <c r="AF1039" s="34">
        <f t="shared" si="6"/>
        <v>0</v>
      </c>
      <c r="AG1039" s="34">
        <f t="shared" si="7"/>
        <v>0</v>
      </c>
      <c r="AH1039" s="34">
        <f t="shared" si="8"/>
        <v>0</v>
      </c>
      <c r="AI1039" s="46" t="s">
        <v>84</v>
      </c>
      <c r="AJ1039" s="34">
        <f t="shared" si="9"/>
        <v>0</v>
      </c>
      <c r="AK1039" s="34">
        <f t="shared" si="10"/>
        <v>0</v>
      </c>
      <c r="AL1039" s="34">
        <f t="shared" si="11"/>
        <v>0</v>
      </c>
      <c r="AN1039" s="34">
        <v>21</v>
      </c>
      <c r="AO1039" s="34">
        <f t="shared" si="12"/>
        <v>0</v>
      </c>
      <c r="AP1039" s="34">
        <f t="shared" si="13"/>
        <v>0</v>
      </c>
      <c r="AQ1039" s="65" t="s">
        <v>166</v>
      </c>
      <c r="AV1039" s="34">
        <f t="shared" si="14"/>
        <v>0</v>
      </c>
      <c r="AW1039" s="34">
        <f t="shared" si="15"/>
        <v>0</v>
      </c>
      <c r="AX1039" s="34">
        <f t="shared" si="16"/>
        <v>0</v>
      </c>
      <c r="AY1039" s="65" t="s">
        <v>1850</v>
      </c>
      <c r="AZ1039" s="65" t="s">
        <v>1550</v>
      </c>
      <c r="BA1039" s="46" t="s">
        <v>136</v>
      </c>
      <c r="BC1039" s="34">
        <f t="shared" si="17"/>
        <v>0</v>
      </c>
      <c r="BD1039" s="34">
        <f t="shared" si="18"/>
        <v>0</v>
      </c>
      <c r="BE1039" s="34">
        <v>0</v>
      </c>
      <c r="BF1039" s="34">
        <f>1039</f>
        <v>1039</v>
      </c>
      <c r="BH1039" s="34">
        <f t="shared" si="19"/>
        <v>0</v>
      </c>
      <c r="BI1039" s="34">
        <f t="shared" si="20"/>
        <v>0</v>
      </c>
      <c r="BJ1039" s="34">
        <f t="shared" si="21"/>
        <v>0</v>
      </c>
      <c r="BK1039" s="34"/>
      <c r="BL1039" s="34"/>
      <c r="BW1039" s="34">
        <v>21</v>
      </c>
      <c r="BX1039" s="3" t="s">
        <v>1886</v>
      </c>
    </row>
    <row r="1040" spans="1:76" x14ac:dyDescent="0.25">
      <c r="A1040" s="1" t="s">
        <v>1887</v>
      </c>
      <c r="B1040" s="2" t="s">
        <v>84</v>
      </c>
      <c r="C1040" s="2" t="s">
        <v>1888</v>
      </c>
      <c r="D1040" s="86" t="s">
        <v>1889</v>
      </c>
      <c r="E1040" s="81"/>
      <c r="F1040" s="2" t="s">
        <v>178</v>
      </c>
      <c r="G1040" s="34">
        <v>0.70667999999999997</v>
      </c>
      <c r="H1040" s="64">
        <v>0</v>
      </c>
      <c r="I1040" s="34">
        <f t="shared" si="0"/>
        <v>0</v>
      </c>
      <c r="J1040" s="65" t="s">
        <v>133</v>
      </c>
      <c r="K1040" s="59"/>
      <c r="Z1040" s="34">
        <f t="shared" si="1"/>
        <v>0</v>
      </c>
      <c r="AB1040" s="34">
        <f t="shared" si="2"/>
        <v>0</v>
      </c>
      <c r="AC1040" s="34">
        <f t="shared" si="3"/>
        <v>0</v>
      </c>
      <c r="AD1040" s="34">
        <f t="shared" si="4"/>
        <v>0</v>
      </c>
      <c r="AE1040" s="34">
        <f t="shared" si="5"/>
        <v>0</v>
      </c>
      <c r="AF1040" s="34">
        <f t="shared" si="6"/>
        <v>0</v>
      </c>
      <c r="AG1040" s="34">
        <f t="shared" si="7"/>
        <v>0</v>
      </c>
      <c r="AH1040" s="34">
        <f t="shared" si="8"/>
        <v>0</v>
      </c>
      <c r="AI1040" s="46" t="s">
        <v>84</v>
      </c>
      <c r="AJ1040" s="34">
        <f t="shared" si="9"/>
        <v>0</v>
      </c>
      <c r="AK1040" s="34">
        <f t="shared" si="10"/>
        <v>0</v>
      </c>
      <c r="AL1040" s="34">
        <f t="shared" si="11"/>
        <v>0</v>
      </c>
      <c r="AN1040" s="34">
        <v>21</v>
      </c>
      <c r="AO1040" s="34">
        <f t="shared" si="12"/>
        <v>0</v>
      </c>
      <c r="AP1040" s="34">
        <f t="shared" si="13"/>
        <v>0</v>
      </c>
      <c r="AQ1040" s="65" t="s">
        <v>166</v>
      </c>
      <c r="AV1040" s="34">
        <f t="shared" si="14"/>
        <v>0</v>
      </c>
      <c r="AW1040" s="34">
        <f t="shared" si="15"/>
        <v>0</v>
      </c>
      <c r="AX1040" s="34">
        <f t="shared" si="16"/>
        <v>0</v>
      </c>
      <c r="AY1040" s="65" t="s">
        <v>1850</v>
      </c>
      <c r="AZ1040" s="65" t="s">
        <v>1550</v>
      </c>
      <c r="BA1040" s="46" t="s">
        <v>136</v>
      </c>
      <c r="BC1040" s="34">
        <f t="shared" si="17"/>
        <v>0</v>
      </c>
      <c r="BD1040" s="34">
        <f t="shared" si="18"/>
        <v>0</v>
      </c>
      <c r="BE1040" s="34">
        <v>0</v>
      </c>
      <c r="BF1040" s="34">
        <f>1040</f>
        <v>1040</v>
      </c>
      <c r="BH1040" s="34">
        <f t="shared" si="19"/>
        <v>0</v>
      </c>
      <c r="BI1040" s="34">
        <f t="shared" si="20"/>
        <v>0</v>
      </c>
      <c r="BJ1040" s="34">
        <f t="shared" si="21"/>
        <v>0</v>
      </c>
      <c r="BK1040" s="34"/>
      <c r="BL1040" s="34"/>
      <c r="BW1040" s="34">
        <v>21</v>
      </c>
      <c r="BX1040" s="3" t="s">
        <v>1889</v>
      </c>
    </row>
    <row r="1041" spans="1:76" x14ac:dyDescent="0.25">
      <c r="A1041" s="1" t="s">
        <v>1890</v>
      </c>
      <c r="B1041" s="2" t="s">
        <v>84</v>
      </c>
      <c r="C1041" s="2" t="s">
        <v>1891</v>
      </c>
      <c r="D1041" s="86" t="s">
        <v>1892</v>
      </c>
      <c r="E1041" s="81"/>
      <c r="F1041" s="2" t="s">
        <v>178</v>
      </c>
      <c r="G1041" s="34">
        <v>3.1223800000000002</v>
      </c>
      <c r="H1041" s="64">
        <v>0</v>
      </c>
      <c r="I1041" s="34">
        <f t="shared" si="0"/>
        <v>0</v>
      </c>
      <c r="J1041" s="65" t="s">
        <v>133</v>
      </c>
      <c r="K1041" s="59"/>
      <c r="Z1041" s="34">
        <f t="shared" si="1"/>
        <v>0</v>
      </c>
      <c r="AB1041" s="34">
        <f t="shared" si="2"/>
        <v>0</v>
      </c>
      <c r="AC1041" s="34">
        <f t="shared" si="3"/>
        <v>0</v>
      </c>
      <c r="AD1041" s="34">
        <f t="shared" si="4"/>
        <v>0</v>
      </c>
      <c r="AE1041" s="34">
        <f t="shared" si="5"/>
        <v>0</v>
      </c>
      <c r="AF1041" s="34">
        <f t="shared" si="6"/>
        <v>0</v>
      </c>
      <c r="AG1041" s="34">
        <f t="shared" si="7"/>
        <v>0</v>
      </c>
      <c r="AH1041" s="34">
        <f t="shared" si="8"/>
        <v>0</v>
      </c>
      <c r="AI1041" s="46" t="s">
        <v>84</v>
      </c>
      <c r="AJ1041" s="34">
        <f t="shared" si="9"/>
        <v>0</v>
      </c>
      <c r="AK1041" s="34">
        <f t="shared" si="10"/>
        <v>0</v>
      </c>
      <c r="AL1041" s="34">
        <f t="shared" si="11"/>
        <v>0</v>
      </c>
      <c r="AN1041" s="34">
        <v>21</v>
      </c>
      <c r="AO1041" s="34">
        <f t="shared" si="12"/>
        <v>0</v>
      </c>
      <c r="AP1041" s="34">
        <f t="shared" si="13"/>
        <v>0</v>
      </c>
      <c r="AQ1041" s="65" t="s">
        <v>166</v>
      </c>
      <c r="AV1041" s="34">
        <f t="shared" si="14"/>
        <v>0</v>
      </c>
      <c r="AW1041" s="34">
        <f t="shared" si="15"/>
        <v>0</v>
      </c>
      <c r="AX1041" s="34">
        <f t="shared" si="16"/>
        <v>0</v>
      </c>
      <c r="AY1041" s="65" t="s">
        <v>1850</v>
      </c>
      <c r="AZ1041" s="65" t="s">
        <v>1550</v>
      </c>
      <c r="BA1041" s="46" t="s">
        <v>136</v>
      </c>
      <c r="BC1041" s="34">
        <f t="shared" si="17"/>
        <v>0</v>
      </c>
      <c r="BD1041" s="34">
        <f t="shared" si="18"/>
        <v>0</v>
      </c>
      <c r="BE1041" s="34">
        <v>0</v>
      </c>
      <c r="BF1041" s="34">
        <f>1041</f>
        <v>1041</v>
      </c>
      <c r="BH1041" s="34">
        <f t="shared" si="19"/>
        <v>0</v>
      </c>
      <c r="BI1041" s="34">
        <f t="shared" si="20"/>
        <v>0</v>
      </c>
      <c r="BJ1041" s="34">
        <f t="shared" si="21"/>
        <v>0</v>
      </c>
      <c r="BK1041" s="34"/>
      <c r="BL1041" s="34"/>
      <c r="BW1041" s="34">
        <v>21</v>
      </c>
      <c r="BX1041" s="3" t="s">
        <v>1892</v>
      </c>
    </row>
    <row r="1042" spans="1:76" x14ac:dyDescent="0.25">
      <c r="A1042" s="1" t="s">
        <v>1893</v>
      </c>
      <c r="B1042" s="2" t="s">
        <v>84</v>
      </c>
      <c r="C1042" s="2" t="s">
        <v>1894</v>
      </c>
      <c r="D1042" s="86" t="s">
        <v>1895</v>
      </c>
      <c r="E1042" s="81"/>
      <c r="F1042" s="2" t="s">
        <v>178</v>
      </c>
      <c r="G1042" s="34">
        <v>8.9036600000000004</v>
      </c>
      <c r="H1042" s="64">
        <v>0</v>
      </c>
      <c r="I1042" s="34">
        <f t="shared" si="0"/>
        <v>0</v>
      </c>
      <c r="J1042" s="65" t="s">
        <v>133</v>
      </c>
      <c r="K1042" s="59"/>
      <c r="Z1042" s="34">
        <f t="shared" si="1"/>
        <v>0</v>
      </c>
      <c r="AB1042" s="34">
        <f t="shared" si="2"/>
        <v>0</v>
      </c>
      <c r="AC1042" s="34">
        <f t="shared" si="3"/>
        <v>0</v>
      </c>
      <c r="AD1042" s="34">
        <f t="shared" si="4"/>
        <v>0</v>
      </c>
      <c r="AE1042" s="34">
        <f t="shared" si="5"/>
        <v>0</v>
      </c>
      <c r="AF1042" s="34">
        <f t="shared" si="6"/>
        <v>0</v>
      </c>
      <c r="AG1042" s="34">
        <f t="shared" si="7"/>
        <v>0</v>
      </c>
      <c r="AH1042" s="34">
        <f t="shared" si="8"/>
        <v>0</v>
      </c>
      <c r="AI1042" s="46" t="s">
        <v>84</v>
      </c>
      <c r="AJ1042" s="34">
        <f t="shared" si="9"/>
        <v>0</v>
      </c>
      <c r="AK1042" s="34">
        <f t="shared" si="10"/>
        <v>0</v>
      </c>
      <c r="AL1042" s="34">
        <f t="shared" si="11"/>
        <v>0</v>
      </c>
      <c r="AN1042" s="34">
        <v>21</v>
      </c>
      <c r="AO1042" s="34">
        <f t="shared" si="12"/>
        <v>0</v>
      </c>
      <c r="AP1042" s="34">
        <f t="shared" si="13"/>
        <v>0</v>
      </c>
      <c r="AQ1042" s="65" t="s">
        <v>166</v>
      </c>
      <c r="AV1042" s="34">
        <f t="shared" si="14"/>
        <v>0</v>
      </c>
      <c r="AW1042" s="34">
        <f t="shared" si="15"/>
        <v>0</v>
      </c>
      <c r="AX1042" s="34">
        <f t="shared" si="16"/>
        <v>0</v>
      </c>
      <c r="AY1042" s="65" t="s">
        <v>1850</v>
      </c>
      <c r="AZ1042" s="65" t="s">
        <v>1550</v>
      </c>
      <c r="BA1042" s="46" t="s">
        <v>136</v>
      </c>
      <c r="BC1042" s="34">
        <f t="shared" si="17"/>
        <v>0</v>
      </c>
      <c r="BD1042" s="34">
        <f t="shared" si="18"/>
        <v>0</v>
      </c>
      <c r="BE1042" s="34">
        <v>0</v>
      </c>
      <c r="BF1042" s="34">
        <f>1042</f>
        <v>1042</v>
      </c>
      <c r="BH1042" s="34">
        <f t="shared" si="19"/>
        <v>0</v>
      </c>
      <c r="BI1042" s="34">
        <f t="shared" si="20"/>
        <v>0</v>
      </c>
      <c r="BJ1042" s="34">
        <f t="shared" si="21"/>
        <v>0</v>
      </c>
      <c r="BK1042" s="34"/>
      <c r="BL1042" s="34"/>
      <c r="BW1042" s="34">
        <v>21</v>
      </c>
      <c r="BX1042" s="3" t="s">
        <v>1895</v>
      </c>
    </row>
    <row r="1043" spans="1:76" x14ac:dyDescent="0.25">
      <c r="A1043" s="1" t="s">
        <v>1896</v>
      </c>
      <c r="B1043" s="2" t="s">
        <v>84</v>
      </c>
      <c r="C1043" s="2" t="s">
        <v>1897</v>
      </c>
      <c r="D1043" s="86" t="s">
        <v>1898</v>
      </c>
      <c r="E1043" s="81"/>
      <c r="F1043" s="2" t="s">
        <v>178</v>
      </c>
      <c r="G1043" s="34">
        <v>0.80422000000000005</v>
      </c>
      <c r="H1043" s="64">
        <v>0</v>
      </c>
      <c r="I1043" s="34">
        <f t="shared" si="0"/>
        <v>0</v>
      </c>
      <c r="J1043" s="65" t="s">
        <v>133</v>
      </c>
      <c r="K1043" s="59"/>
      <c r="Z1043" s="34">
        <f t="shared" si="1"/>
        <v>0</v>
      </c>
      <c r="AB1043" s="34">
        <f t="shared" si="2"/>
        <v>0</v>
      </c>
      <c r="AC1043" s="34">
        <f t="shared" si="3"/>
        <v>0</v>
      </c>
      <c r="AD1043" s="34">
        <f t="shared" si="4"/>
        <v>0</v>
      </c>
      <c r="AE1043" s="34">
        <f t="shared" si="5"/>
        <v>0</v>
      </c>
      <c r="AF1043" s="34">
        <f t="shared" si="6"/>
        <v>0</v>
      </c>
      <c r="AG1043" s="34">
        <f t="shared" si="7"/>
        <v>0</v>
      </c>
      <c r="AH1043" s="34">
        <f t="shared" si="8"/>
        <v>0</v>
      </c>
      <c r="AI1043" s="46" t="s">
        <v>84</v>
      </c>
      <c r="AJ1043" s="34">
        <f t="shared" si="9"/>
        <v>0</v>
      </c>
      <c r="AK1043" s="34">
        <f t="shared" si="10"/>
        <v>0</v>
      </c>
      <c r="AL1043" s="34">
        <f t="shared" si="11"/>
        <v>0</v>
      </c>
      <c r="AN1043" s="34">
        <v>21</v>
      </c>
      <c r="AO1043" s="34">
        <f t="shared" si="12"/>
        <v>0</v>
      </c>
      <c r="AP1043" s="34">
        <f t="shared" si="13"/>
        <v>0</v>
      </c>
      <c r="AQ1043" s="65" t="s">
        <v>166</v>
      </c>
      <c r="AV1043" s="34">
        <f t="shared" si="14"/>
        <v>0</v>
      </c>
      <c r="AW1043" s="34">
        <f t="shared" si="15"/>
        <v>0</v>
      </c>
      <c r="AX1043" s="34">
        <f t="shared" si="16"/>
        <v>0</v>
      </c>
      <c r="AY1043" s="65" t="s">
        <v>1850</v>
      </c>
      <c r="AZ1043" s="65" t="s">
        <v>1550</v>
      </c>
      <c r="BA1043" s="46" t="s">
        <v>136</v>
      </c>
      <c r="BC1043" s="34">
        <f t="shared" si="17"/>
        <v>0</v>
      </c>
      <c r="BD1043" s="34">
        <f t="shared" si="18"/>
        <v>0</v>
      </c>
      <c r="BE1043" s="34">
        <v>0</v>
      </c>
      <c r="BF1043" s="34">
        <f>1043</f>
        <v>1043</v>
      </c>
      <c r="BH1043" s="34">
        <f t="shared" si="19"/>
        <v>0</v>
      </c>
      <c r="BI1043" s="34">
        <f t="shared" si="20"/>
        <v>0</v>
      </c>
      <c r="BJ1043" s="34">
        <f t="shared" si="21"/>
        <v>0</v>
      </c>
      <c r="BK1043" s="34"/>
      <c r="BL1043" s="34"/>
      <c r="BW1043" s="34">
        <v>21</v>
      </c>
      <c r="BX1043" s="3" t="s">
        <v>1898</v>
      </c>
    </row>
    <row r="1044" spans="1:76" x14ac:dyDescent="0.25">
      <c r="A1044" s="60" t="s">
        <v>4</v>
      </c>
      <c r="B1044" s="61" t="s">
        <v>84</v>
      </c>
      <c r="C1044" s="61" t="s">
        <v>1899</v>
      </c>
      <c r="D1044" s="167" t="s">
        <v>36</v>
      </c>
      <c r="E1044" s="168"/>
      <c r="F1044" s="62" t="s">
        <v>79</v>
      </c>
      <c r="G1044" s="62" t="s">
        <v>79</v>
      </c>
      <c r="H1044" s="63" t="s">
        <v>79</v>
      </c>
      <c r="I1044" s="39">
        <f>SUM(I1045:I1066)</f>
        <v>0</v>
      </c>
      <c r="J1044" s="46" t="s">
        <v>4</v>
      </c>
      <c r="K1044" s="59"/>
      <c r="AI1044" s="46" t="s">
        <v>84</v>
      </c>
      <c r="AS1044" s="39">
        <f>SUM(AJ1045:AJ1066)</f>
        <v>0</v>
      </c>
      <c r="AT1044" s="39">
        <f>SUM(AK1045:AK1066)</f>
        <v>0</v>
      </c>
      <c r="AU1044" s="39">
        <f>SUM(AL1045:AL1066)</f>
        <v>0</v>
      </c>
    </row>
    <row r="1045" spans="1:76" x14ac:dyDescent="0.25">
      <c r="A1045" s="1" t="s">
        <v>1900</v>
      </c>
      <c r="B1045" s="2" t="s">
        <v>84</v>
      </c>
      <c r="C1045" s="2" t="s">
        <v>1901</v>
      </c>
      <c r="D1045" s="86" t="s">
        <v>1902</v>
      </c>
      <c r="E1045" s="81"/>
      <c r="F1045" s="2" t="s">
        <v>258</v>
      </c>
      <c r="G1045" s="34">
        <v>1</v>
      </c>
      <c r="H1045" s="64">
        <v>0</v>
      </c>
      <c r="I1045" s="34">
        <f>ROUND(G1045*H1045,2)</f>
        <v>0</v>
      </c>
      <c r="J1045" s="65" t="s">
        <v>398</v>
      </c>
      <c r="K1045" s="59"/>
      <c r="Z1045" s="34">
        <f>ROUND(IF(AQ1045="5",BJ1045,0),2)</f>
        <v>0</v>
      </c>
      <c r="AB1045" s="34">
        <f>ROUND(IF(AQ1045="1",BH1045,0),2)</f>
        <v>0</v>
      </c>
      <c r="AC1045" s="34">
        <f>ROUND(IF(AQ1045="1",BI1045,0),2)</f>
        <v>0</v>
      </c>
      <c r="AD1045" s="34">
        <f>ROUND(IF(AQ1045="7",BH1045,0),2)</f>
        <v>0</v>
      </c>
      <c r="AE1045" s="34">
        <f>ROUND(IF(AQ1045="7",BI1045,0),2)</f>
        <v>0</v>
      </c>
      <c r="AF1045" s="34">
        <f>ROUND(IF(AQ1045="2",BH1045,0),2)</f>
        <v>0</v>
      </c>
      <c r="AG1045" s="34">
        <f>ROUND(IF(AQ1045="2",BI1045,0),2)</f>
        <v>0</v>
      </c>
      <c r="AH1045" s="34">
        <f>ROUND(IF(AQ1045="0",BJ1045,0),2)</f>
        <v>0</v>
      </c>
      <c r="AI1045" s="46" t="s">
        <v>84</v>
      </c>
      <c r="AJ1045" s="34">
        <f>IF(AN1045=0,I1045,0)</f>
        <v>0</v>
      </c>
      <c r="AK1045" s="34">
        <f>IF(AN1045=12,I1045,0)</f>
        <v>0</v>
      </c>
      <c r="AL1045" s="34">
        <f>IF(AN1045=21,I1045,0)</f>
        <v>0</v>
      </c>
      <c r="AN1045" s="34">
        <v>21</v>
      </c>
      <c r="AO1045" s="34">
        <f>H1045*1</f>
        <v>0</v>
      </c>
      <c r="AP1045" s="34">
        <f>H1045*(1-1)</f>
        <v>0</v>
      </c>
      <c r="AQ1045" s="65" t="s">
        <v>1903</v>
      </c>
      <c r="AV1045" s="34">
        <f>ROUND(AW1045+AX1045,2)</f>
        <v>0</v>
      </c>
      <c r="AW1045" s="34">
        <f>ROUND(G1045*AO1045,2)</f>
        <v>0</v>
      </c>
      <c r="AX1045" s="34">
        <f>ROUND(G1045*AP1045,2)</f>
        <v>0</v>
      </c>
      <c r="AY1045" s="65" t="s">
        <v>1904</v>
      </c>
      <c r="AZ1045" s="65" t="s">
        <v>1905</v>
      </c>
      <c r="BA1045" s="46" t="s">
        <v>136</v>
      </c>
      <c r="BC1045" s="34">
        <f>AW1045+AX1045</f>
        <v>0</v>
      </c>
      <c r="BD1045" s="34">
        <f>H1045/(100-BE1045)*100</f>
        <v>0</v>
      </c>
      <c r="BE1045" s="34">
        <v>0</v>
      </c>
      <c r="BF1045" s="34">
        <f>1045</f>
        <v>1045</v>
      </c>
      <c r="BH1045" s="34">
        <f>G1045*AO1045</f>
        <v>0</v>
      </c>
      <c r="BI1045" s="34">
        <f>G1045*AP1045</f>
        <v>0</v>
      </c>
      <c r="BJ1045" s="34">
        <f>G1045*H1045</f>
        <v>0</v>
      </c>
      <c r="BK1045" s="34"/>
      <c r="BL1045" s="34"/>
      <c r="BW1045" s="34">
        <v>21</v>
      </c>
      <c r="BX1045" s="3" t="s">
        <v>1902</v>
      </c>
    </row>
    <row r="1046" spans="1:76" x14ac:dyDescent="0.25">
      <c r="A1046" s="66"/>
      <c r="D1046" s="67" t="s">
        <v>129</v>
      </c>
      <c r="E1046" s="67" t="s">
        <v>4</v>
      </c>
      <c r="G1046" s="68">
        <v>1</v>
      </c>
      <c r="K1046" s="59"/>
    </row>
    <row r="1047" spans="1:76" x14ac:dyDescent="0.25">
      <c r="A1047" s="1" t="s">
        <v>1906</v>
      </c>
      <c r="B1047" s="2" t="s">
        <v>84</v>
      </c>
      <c r="C1047" s="2" t="s">
        <v>1907</v>
      </c>
      <c r="D1047" s="86" t="s">
        <v>1908</v>
      </c>
      <c r="E1047" s="81"/>
      <c r="F1047" s="2" t="s">
        <v>258</v>
      </c>
      <c r="G1047" s="34">
        <v>10</v>
      </c>
      <c r="H1047" s="64">
        <v>0</v>
      </c>
      <c r="I1047" s="34">
        <f>ROUND(G1047*H1047,2)</f>
        <v>0</v>
      </c>
      <c r="J1047" s="65" t="s">
        <v>1909</v>
      </c>
      <c r="K1047" s="59"/>
      <c r="Z1047" s="34">
        <f>ROUND(IF(AQ1047="5",BJ1047,0),2)</f>
        <v>0</v>
      </c>
      <c r="AB1047" s="34">
        <f>ROUND(IF(AQ1047="1",BH1047,0),2)</f>
        <v>0</v>
      </c>
      <c r="AC1047" s="34">
        <f>ROUND(IF(AQ1047="1",BI1047,0),2)</f>
        <v>0</v>
      </c>
      <c r="AD1047" s="34">
        <f>ROUND(IF(AQ1047="7",BH1047,0),2)</f>
        <v>0</v>
      </c>
      <c r="AE1047" s="34">
        <f>ROUND(IF(AQ1047="7",BI1047,0),2)</f>
        <v>0</v>
      </c>
      <c r="AF1047" s="34">
        <f>ROUND(IF(AQ1047="2",BH1047,0),2)</f>
        <v>0</v>
      </c>
      <c r="AG1047" s="34">
        <f>ROUND(IF(AQ1047="2",BI1047,0),2)</f>
        <v>0</v>
      </c>
      <c r="AH1047" s="34">
        <f>ROUND(IF(AQ1047="0",BJ1047,0),2)</f>
        <v>0</v>
      </c>
      <c r="AI1047" s="46" t="s">
        <v>84</v>
      </c>
      <c r="AJ1047" s="34">
        <f>IF(AN1047=0,I1047,0)</f>
        <v>0</v>
      </c>
      <c r="AK1047" s="34">
        <f>IF(AN1047=12,I1047,0)</f>
        <v>0</v>
      </c>
      <c r="AL1047" s="34">
        <f>IF(AN1047=21,I1047,0)</f>
        <v>0</v>
      </c>
      <c r="AN1047" s="34">
        <v>21</v>
      </c>
      <c r="AO1047" s="34">
        <f>H1047*1</f>
        <v>0</v>
      </c>
      <c r="AP1047" s="34">
        <f>H1047*(1-1)</f>
        <v>0</v>
      </c>
      <c r="AQ1047" s="65" t="s">
        <v>1903</v>
      </c>
      <c r="AV1047" s="34">
        <f>ROUND(AW1047+AX1047,2)</f>
        <v>0</v>
      </c>
      <c r="AW1047" s="34">
        <f>ROUND(G1047*AO1047,2)</f>
        <v>0</v>
      </c>
      <c r="AX1047" s="34">
        <f>ROUND(G1047*AP1047,2)</f>
        <v>0</v>
      </c>
      <c r="AY1047" s="65" t="s">
        <v>1904</v>
      </c>
      <c r="AZ1047" s="65" t="s">
        <v>1905</v>
      </c>
      <c r="BA1047" s="46" t="s">
        <v>136</v>
      </c>
      <c r="BC1047" s="34">
        <f>AW1047+AX1047</f>
        <v>0</v>
      </c>
      <c r="BD1047" s="34">
        <f>H1047/(100-BE1047)*100</f>
        <v>0</v>
      </c>
      <c r="BE1047" s="34">
        <v>0</v>
      </c>
      <c r="BF1047" s="34">
        <f>1047</f>
        <v>1047</v>
      </c>
      <c r="BH1047" s="34">
        <f>G1047*AO1047</f>
        <v>0</v>
      </c>
      <c r="BI1047" s="34">
        <f>G1047*AP1047</f>
        <v>0</v>
      </c>
      <c r="BJ1047" s="34">
        <f>G1047*H1047</f>
        <v>0</v>
      </c>
      <c r="BK1047" s="34"/>
      <c r="BL1047" s="34"/>
      <c r="BW1047" s="34">
        <v>21</v>
      </c>
      <c r="BX1047" s="3" t="s">
        <v>1908</v>
      </c>
    </row>
    <row r="1048" spans="1:76" x14ac:dyDescent="0.25">
      <c r="A1048" s="66"/>
      <c r="D1048" s="67" t="s">
        <v>198</v>
      </c>
      <c r="E1048" s="67" t="s">
        <v>4</v>
      </c>
      <c r="G1048" s="68">
        <v>10</v>
      </c>
      <c r="K1048" s="59"/>
    </row>
    <row r="1049" spans="1:76" x14ac:dyDescent="0.25">
      <c r="A1049" s="1" t="s">
        <v>1910</v>
      </c>
      <c r="B1049" s="2" t="s">
        <v>84</v>
      </c>
      <c r="C1049" s="2" t="s">
        <v>1911</v>
      </c>
      <c r="D1049" s="86" t="s">
        <v>1912</v>
      </c>
      <c r="E1049" s="81"/>
      <c r="F1049" s="2" t="s">
        <v>258</v>
      </c>
      <c r="G1049" s="34">
        <v>9</v>
      </c>
      <c r="H1049" s="64">
        <v>0</v>
      </c>
      <c r="I1049" s="34">
        <f>ROUND(G1049*H1049,2)</f>
        <v>0</v>
      </c>
      <c r="J1049" s="65" t="s">
        <v>1909</v>
      </c>
      <c r="K1049" s="59"/>
      <c r="Z1049" s="34">
        <f>ROUND(IF(AQ1049="5",BJ1049,0),2)</f>
        <v>0</v>
      </c>
      <c r="AB1049" s="34">
        <f>ROUND(IF(AQ1049="1",BH1049,0),2)</f>
        <v>0</v>
      </c>
      <c r="AC1049" s="34">
        <f>ROUND(IF(AQ1049="1",BI1049,0),2)</f>
        <v>0</v>
      </c>
      <c r="AD1049" s="34">
        <f>ROUND(IF(AQ1049="7",BH1049,0),2)</f>
        <v>0</v>
      </c>
      <c r="AE1049" s="34">
        <f>ROUND(IF(AQ1049="7",BI1049,0),2)</f>
        <v>0</v>
      </c>
      <c r="AF1049" s="34">
        <f>ROUND(IF(AQ1049="2",BH1049,0),2)</f>
        <v>0</v>
      </c>
      <c r="AG1049" s="34">
        <f>ROUND(IF(AQ1049="2",BI1049,0),2)</f>
        <v>0</v>
      </c>
      <c r="AH1049" s="34">
        <f>ROUND(IF(AQ1049="0",BJ1049,0),2)</f>
        <v>0</v>
      </c>
      <c r="AI1049" s="46" t="s">
        <v>84</v>
      </c>
      <c r="AJ1049" s="34">
        <f>IF(AN1049=0,I1049,0)</f>
        <v>0</v>
      </c>
      <c r="AK1049" s="34">
        <f>IF(AN1049=12,I1049,0)</f>
        <v>0</v>
      </c>
      <c r="AL1049" s="34">
        <f>IF(AN1049=21,I1049,0)</f>
        <v>0</v>
      </c>
      <c r="AN1049" s="34">
        <v>21</v>
      </c>
      <c r="AO1049" s="34">
        <f>H1049*1</f>
        <v>0</v>
      </c>
      <c r="AP1049" s="34">
        <f>H1049*(1-1)</f>
        <v>0</v>
      </c>
      <c r="AQ1049" s="65" t="s">
        <v>1903</v>
      </c>
      <c r="AV1049" s="34">
        <f>ROUND(AW1049+AX1049,2)</f>
        <v>0</v>
      </c>
      <c r="AW1049" s="34">
        <f>ROUND(G1049*AO1049,2)</f>
        <v>0</v>
      </c>
      <c r="AX1049" s="34">
        <f>ROUND(G1049*AP1049,2)</f>
        <v>0</v>
      </c>
      <c r="AY1049" s="65" t="s">
        <v>1904</v>
      </c>
      <c r="AZ1049" s="65" t="s">
        <v>1905</v>
      </c>
      <c r="BA1049" s="46" t="s">
        <v>136</v>
      </c>
      <c r="BC1049" s="34">
        <f>AW1049+AX1049</f>
        <v>0</v>
      </c>
      <c r="BD1049" s="34">
        <f>H1049/(100-BE1049)*100</f>
        <v>0</v>
      </c>
      <c r="BE1049" s="34">
        <v>0</v>
      </c>
      <c r="BF1049" s="34">
        <f>1049</f>
        <v>1049</v>
      </c>
      <c r="BH1049" s="34">
        <f>G1049*AO1049</f>
        <v>0</v>
      </c>
      <c r="BI1049" s="34">
        <f>G1049*AP1049</f>
        <v>0</v>
      </c>
      <c r="BJ1049" s="34">
        <f>G1049*H1049</f>
        <v>0</v>
      </c>
      <c r="BK1049" s="34"/>
      <c r="BL1049" s="34"/>
      <c r="BW1049" s="34">
        <v>21</v>
      </c>
      <c r="BX1049" s="3" t="s">
        <v>1912</v>
      </c>
    </row>
    <row r="1050" spans="1:76" x14ac:dyDescent="0.25">
      <c r="A1050" s="66"/>
      <c r="D1050" s="67" t="s">
        <v>189</v>
      </c>
      <c r="E1050" s="67" t="s">
        <v>4</v>
      </c>
      <c r="G1050" s="68">
        <v>9</v>
      </c>
      <c r="K1050" s="59"/>
    </row>
    <row r="1051" spans="1:76" x14ac:dyDescent="0.25">
      <c r="A1051" s="1" t="s">
        <v>1913</v>
      </c>
      <c r="B1051" s="2" t="s">
        <v>84</v>
      </c>
      <c r="C1051" s="2" t="s">
        <v>1914</v>
      </c>
      <c r="D1051" s="86" t="s">
        <v>1915</v>
      </c>
      <c r="E1051" s="81"/>
      <c r="F1051" s="2" t="s">
        <v>1190</v>
      </c>
      <c r="G1051" s="34">
        <v>1</v>
      </c>
      <c r="H1051" s="64">
        <v>0</v>
      </c>
      <c r="I1051" s="34">
        <f>ROUND(G1051*H1051,2)</f>
        <v>0</v>
      </c>
      <c r="J1051" s="65" t="s">
        <v>398</v>
      </c>
      <c r="K1051" s="59"/>
      <c r="Z1051" s="34">
        <f>ROUND(IF(AQ1051="5",BJ1051,0),2)</f>
        <v>0</v>
      </c>
      <c r="AB1051" s="34">
        <f>ROUND(IF(AQ1051="1",BH1051,0),2)</f>
        <v>0</v>
      </c>
      <c r="AC1051" s="34">
        <f>ROUND(IF(AQ1051="1",BI1051,0),2)</f>
        <v>0</v>
      </c>
      <c r="AD1051" s="34">
        <f>ROUND(IF(AQ1051="7",BH1051,0),2)</f>
        <v>0</v>
      </c>
      <c r="AE1051" s="34">
        <f>ROUND(IF(AQ1051="7",BI1051,0),2)</f>
        <v>0</v>
      </c>
      <c r="AF1051" s="34">
        <f>ROUND(IF(AQ1051="2",BH1051,0),2)</f>
        <v>0</v>
      </c>
      <c r="AG1051" s="34">
        <f>ROUND(IF(AQ1051="2",BI1051,0),2)</f>
        <v>0</v>
      </c>
      <c r="AH1051" s="34">
        <f>ROUND(IF(AQ1051="0",BJ1051,0),2)</f>
        <v>0</v>
      </c>
      <c r="AI1051" s="46" t="s">
        <v>84</v>
      </c>
      <c r="AJ1051" s="34">
        <f>IF(AN1051=0,I1051,0)</f>
        <v>0</v>
      </c>
      <c r="AK1051" s="34">
        <f>IF(AN1051=12,I1051,0)</f>
        <v>0</v>
      </c>
      <c r="AL1051" s="34">
        <f>IF(AN1051=21,I1051,0)</f>
        <v>0</v>
      </c>
      <c r="AN1051" s="34">
        <v>21</v>
      </c>
      <c r="AO1051" s="34">
        <f>H1051*1</f>
        <v>0</v>
      </c>
      <c r="AP1051" s="34">
        <f>H1051*(1-1)</f>
        <v>0</v>
      </c>
      <c r="AQ1051" s="65" t="s">
        <v>1903</v>
      </c>
      <c r="AV1051" s="34">
        <f>ROUND(AW1051+AX1051,2)</f>
        <v>0</v>
      </c>
      <c r="AW1051" s="34">
        <f>ROUND(G1051*AO1051,2)</f>
        <v>0</v>
      </c>
      <c r="AX1051" s="34">
        <f>ROUND(G1051*AP1051,2)</f>
        <v>0</v>
      </c>
      <c r="AY1051" s="65" t="s">
        <v>1904</v>
      </c>
      <c r="AZ1051" s="65" t="s">
        <v>1905</v>
      </c>
      <c r="BA1051" s="46" t="s">
        <v>136</v>
      </c>
      <c r="BC1051" s="34">
        <f>AW1051+AX1051</f>
        <v>0</v>
      </c>
      <c r="BD1051" s="34">
        <f>H1051/(100-BE1051)*100</f>
        <v>0</v>
      </c>
      <c r="BE1051" s="34">
        <v>0</v>
      </c>
      <c r="BF1051" s="34">
        <f>1051</f>
        <v>1051</v>
      </c>
      <c r="BH1051" s="34">
        <f>G1051*AO1051</f>
        <v>0</v>
      </c>
      <c r="BI1051" s="34">
        <f>G1051*AP1051</f>
        <v>0</v>
      </c>
      <c r="BJ1051" s="34">
        <f>G1051*H1051</f>
        <v>0</v>
      </c>
      <c r="BK1051" s="34"/>
      <c r="BL1051" s="34"/>
      <c r="BW1051" s="34">
        <v>21</v>
      </c>
      <c r="BX1051" s="3" t="s">
        <v>1915</v>
      </c>
    </row>
    <row r="1052" spans="1:76" x14ac:dyDescent="0.25">
      <c r="A1052" s="66"/>
      <c r="D1052" s="67" t="s">
        <v>129</v>
      </c>
      <c r="E1052" s="67" t="s">
        <v>4</v>
      </c>
      <c r="G1052" s="68">
        <v>1</v>
      </c>
      <c r="K1052" s="59"/>
    </row>
    <row r="1053" spans="1:76" x14ac:dyDescent="0.25">
      <c r="A1053" s="1" t="s">
        <v>1916</v>
      </c>
      <c r="B1053" s="2" t="s">
        <v>84</v>
      </c>
      <c r="C1053" s="2" t="s">
        <v>1917</v>
      </c>
      <c r="D1053" s="86" t="s">
        <v>1918</v>
      </c>
      <c r="E1053" s="81"/>
      <c r="F1053" s="2" t="s">
        <v>1190</v>
      </c>
      <c r="G1053" s="34">
        <v>9</v>
      </c>
      <c r="H1053" s="64">
        <v>0</v>
      </c>
      <c r="I1053" s="34">
        <f>ROUND(G1053*H1053,2)</f>
        <v>0</v>
      </c>
      <c r="J1053" s="65" t="s">
        <v>398</v>
      </c>
      <c r="K1053" s="59"/>
      <c r="Z1053" s="34">
        <f>ROUND(IF(AQ1053="5",BJ1053,0),2)</f>
        <v>0</v>
      </c>
      <c r="AB1053" s="34">
        <f>ROUND(IF(AQ1053="1",BH1053,0),2)</f>
        <v>0</v>
      </c>
      <c r="AC1053" s="34">
        <f>ROUND(IF(AQ1053="1",BI1053,0),2)</f>
        <v>0</v>
      </c>
      <c r="AD1053" s="34">
        <f>ROUND(IF(AQ1053="7",BH1053,0),2)</f>
        <v>0</v>
      </c>
      <c r="AE1053" s="34">
        <f>ROUND(IF(AQ1053="7",BI1053,0),2)</f>
        <v>0</v>
      </c>
      <c r="AF1053" s="34">
        <f>ROUND(IF(AQ1053="2",BH1053,0),2)</f>
        <v>0</v>
      </c>
      <c r="AG1053" s="34">
        <f>ROUND(IF(AQ1053="2",BI1053,0),2)</f>
        <v>0</v>
      </c>
      <c r="AH1053" s="34">
        <f>ROUND(IF(AQ1053="0",BJ1053,0),2)</f>
        <v>0</v>
      </c>
      <c r="AI1053" s="46" t="s">
        <v>84</v>
      </c>
      <c r="AJ1053" s="34">
        <f>IF(AN1053=0,I1053,0)</f>
        <v>0</v>
      </c>
      <c r="AK1053" s="34">
        <f>IF(AN1053=12,I1053,0)</f>
        <v>0</v>
      </c>
      <c r="AL1053" s="34">
        <f>IF(AN1053=21,I1053,0)</f>
        <v>0</v>
      </c>
      <c r="AN1053" s="34">
        <v>21</v>
      </c>
      <c r="AO1053" s="34">
        <f>H1053*1</f>
        <v>0</v>
      </c>
      <c r="AP1053" s="34">
        <f>H1053*(1-1)</f>
        <v>0</v>
      </c>
      <c r="AQ1053" s="65" t="s">
        <v>1903</v>
      </c>
      <c r="AV1053" s="34">
        <f>ROUND(AW1053+AX1053,2)</f>
        <v>0</v>
      </c>
      <c r="AW1053" s="34">
        <f>ROUND(G1053*AO1053,2)</f>
        <v>0</v>
      </c>
      <c r="AX1053" s="34">
        <f>ROUND(G1053*AP1053,2)</f>
        <v>0</v>
      </c>
      <c r="AY1053" s="65" t="s">
        <v>1904</v>
      </c>
      <c r="AZ1053" s="65" t="s">
        <v>1905</v>
      </c>
      <c r="BA1053" s="46" t="s">
        <v>136</v>
      </c>
      <c r="BC1053" s="34">
        <f>AW1053+AX1053</f>
        <v>0</v>
      </c>
      <c r="BD1053" s="34">
        <f>H1053/(100-BE1053)*100</f>
        <v>0</v>
      </c>
      <c r="BE1053" s="34">
        <v>0</v>
      </c>
      <c r="BF1053" s="34">
        <f>1053</f>
        <v>1053</v>
      </c>
      <c r="BH1053" s="34">
        <f>G1053*AO1053</f>
        <v>0</v>
      </c>
      <c r="BI1053" s="34">
        <f>G1053*AP1053</f>
        <v>0</v>
      </c>
      <c r="BJ1053" s="34">
        <f>G1053*H1053</f>
        <v>0</v>
      </c>
      <c r="BK1053" s="34"/>
      <c r="BL1053" s="34"/>
      <c r="BW1053" s="34">
        <v>21</v>
      </c>
      <c r="BX1053" s="3" t="s">
        <v>1918</v>
      </c>
    </row>
    <row r="1054" spans="1:76" x14ac:dyDescent="0.25">
      <c r="A1054" s="66"/>
      <c r="D1054" s="67" t="s">
        <v>189</v>
      </c>
      <c r="E1054" s="67" t="s">
        <v>4</v>
      </c>
      <c r="G1054" s="68">
        <v>9</v>
      </c>
      <c r="K1054" s="59"/>
    </row>
    <row r="1055" spans="1:76" x14ac:dyDescent="0.25">
      <c r="A1055" s="1" t="s">
        <v>1919</v>
      </c>
      <c r="B1055" s="2" t="s">
        <v>84</v>
      </c>
      <c r="C1055" s="2" t="s">
        <v>1920</v>
      </c>
      <c r="D1055" s="86" t="s">
        <v>1921</v>
      </c>
      <c r="E1055" s="81"/>
      <c r="F1055" s="2" t="s">
        <v>258</v>
      </c>
      <c r="G1055" s="34">
        <v>1</v>
      </c>
      <c r="H1055" s="64">
        <v>0</v>
      </c>
      <c r="I1055" s="34">
        <f>ROUND(G1055*H1055,2)</f>
        <v>0</v>
      </c>
      <c r="J1055" s="65" t="s">
        <v>398</v>
      </c>
      <c r="K1055" s="59"/>
      <c r="Z1055" s="34">
        <f>ROUND(IF(AQ1055="5",BJ1055,0),2)</f>
        <v>0</v>
      </c>
      <c r="AB1055" s="34">
        <f>ROUND(IF(AQ1055="1",BH1055,0),2)</f>
        <v>0</v>
      </c>
      <c r="AC1055" s="34">
        <f>ROUND(IF(AQ1055="1",BI1055,0),2)</f>
        <v>0</v>
      </c>
      <c r="AD1055" s="34">
        <f>ROUND(IF(AQ1055="7",BH1055,0),2)</f>
        <v>0</v>
      </c>
      <c r="AE1055" s="34">
        <f>ROUND(IF(AQ1055="7",BI1055,0),2)</f>
        <v>0</v>
      </c>
      <c r="AF1055" s="34">
        <f>ROUND(IF(AQ1055="2",BH1055,0),2)</f>
        <v>0</v>
      </c>
      <c r="AG1055" s="34">
        <f>ROUND(IF(AQ1055="2",BI1055,0),2)</f>
        <v>0</v>
      </c>
      <c r="AH1055" s="34">
        <f>ROUND(IF(AQ1055="0",BJ1055,0),2)</f>
        <v>0</v>
      </c>
      <c r="AI1055" s="46" t="s">
        <v>84</v>
      </c>
      <c r="AJ1055" s="34">
        <f>IF(AN1055=0,I1055,0)</f>
        <v>0</v>
      </c>
      <c r="AK1055" s="34">
        <f>IF(AN1055=12,I1055,0)</f>
        <v>0</v>
      </c>
      <c r="AL1055" s="34">
        <f>IF(AN1055=21,I1055,0)</f>
        <v>0</v>
      </c>
      <c r="AN1055" s="34">
        <v>21</v>
      </c>
      <c r="AO1055" s="34">
        <f>H1055*1</f>
        <v>0</v>
      </c>
      <c r="AP1055" s="34">
        <f>H1055*(1-1)</f>
        <v>0</v>
      </c>
      <c r="AQ1055" s="65" t="s">
        <v>1903</v>
      </c>
      <c r="AV1055" s="34">
        <f>ROUND(AW1055+AX1055,2)</f>
        <v>0</v>
      </c>
      <c r="AW1055" s="34">
        <f>ROUND(G1055*AO1055,2)</f>
        <v>0</v>
      </c>
      <c r="AX1055" s="34">
        <f>ROUND(G1055*AP1055,2)</f>
        <v>0</v>
      </c>
      <c r="AY1055" s="65" t="s">
        <v>1904</v>
      </c>
      <c r="AZ1055" s="65" t="s">
        <v>1905</v>
      </c>
      <c r="BA1055" s="46" t="s">
        <v>136</v>
      </c>
      <c r="BC1055" s="34">
        <f>AW1055+AX1055</f>
        <v>0</v>
      </c>
      <c r="BD1055" s="34">
        <f>H1055/(100-BE1055)*100</f>
        <v>0</v>
      </c>
      <c r="BE1055" s="34">
        <v>0</v>
      </c>
      <c r="BF1055" s="34">
        <f>1055</f>
        <v>1055</v>
      </c>
      <c r="BH1055" s="34">
        <f>G1055*AO1055</f>
        <v>0</v>
      </c>
      <c r="BI1055" s="34">
        <f>G1055*AP1055</f>
        <v>0</v>
      </c>
      <c r="BJ1055" s="34">
        <f>G1055*H1055</f>
        <v>0</v>
      </c>
      <c r="BK1055" s="34"/>
      <c r="BL1055" s="34"/>
      <c r="BW1055" s="34">
        <v>21</v>
      </c>
      <c r="BX1055" s="3" t="s">
        <v>1921</v>
      </c>
    </row>
    <row r="1056" spans="1:76" x14ac:dyDescent="0.25">
      <c r="A1056" s="66"/>
      <c r="D1056" s="67" t="s">
        <v>129</v>
      </c>
      <c r="E1056" s="67" t="s">
        <v>4</v>
      </c>
      <c r="G1056" s="68">
        <v>1</v>
      </c>
      <c r="K1056" s="59"/>
    </row>
    <row r="1057" spans="1:76" x14ac:dyDescent="0.25">
      <c r="A1057" s="1" t="s">
        <v>1922</v>
      </c>
      <c r="B1057" s="2" t="s">
        <v>84</v>
      </c>
      <c r="C1057" s="2" t="s">
        <v>1920</v>
      </c>
      <c r="D1057" s="86" t="s">
        <v>1921</v>
      </c>
      <c r="E1057" s="81"/>
      <c r="F1057" s="2" t="s">
        <v>258</v>
      </c>
      <c r="G1057" s="34">
        <v>1</v>
      </c>
      <c r="H1057" s="64">
        <v>0</v>
      </c>
      <c r="I1057" s="34">
        <f>ROUND(G1057*H1057,2)</f>
        <v>0</v>
      </c>
      <c r="J1057" s="65" t="s">
        <v>398</v>
      </c>
      <c r="K1057" s="59"/>
      <c r="Z1057" s="34">
        <f>ROUND(IF(AQ1057="5",BJ1057,0),2)</f>
        <v>0</v>
      </c>
      <c r="AB1057" s="34">
        <f>ROUND(IF(AQ1057="1",BH1057,0),2)</f>
        <v>0</v>
      </c>
      <c r="AC1057" s="34">
        <f>ROUND(IF(AQ1057="1",BI1057,0),2)</f>
        <v>0</v>
      </c>
      <c r="AD1057" s="34">
        <f>ROUND(IF(AQ1057="7",BH1057,0),2)</f>
        <v>0</v>
      </c>
      <c r="AE1057" s="34">
        <f>ROUND(IF(AQ1057="7",BI1057,0),2)</f>
        <v>0</v>
      </c>
      <c r="AF1057" s="34">
        <f>ROUND(IF(AQ1057="2",BH1057,0),2)</f>
        <v>0</v>
      </c>
      <c r="AG1057" s="34">
        <f>ROUND(IF(AQ1057="2",BI1057,0),2)</f>
        <v>0</v>
      </c>
      <c r="AH1057" s="34">
        <f>ROUND(IF(AQ1057="0",BJ1057,0),2)</f>
        <v>0</v>
      </c>
      <c r="AI1057" s="46" t="s">
        <v>84</v>
      </c>
      <c r="AJ1057" s="34">
        <f>IF(AN1057=0,I1057,0)</f>
        <v>0</v>
      </c>
      <c r="AK1057" s="34">
        <f>IF(AN1057=12,I1057,0)</f>
        <v>0</v>
      </c>
      <c r="AL1057" s="34">
        <f>IF(AN1057=21,I1057,0)</f>
        <v>0</v>
      </c>
      <c r="AN1057" s="34">
        <v>21</v>
      </c>
      <c r="AO1057" s="34">
        <f>H1057*1</f>
        <v>0</v>
      </c>
      <c r="AP1057" s="34">
        <f>H1057*(1-1)</f>
        <v>0</v>
      </c>
      <c r="AQ1057" s="65" t="s">
        <v>1903</v>
      </c>
      <c r="AV1057" s="34">
        <f>ROUND(AW1057+AX1057,2)</f>
        <v>0</v>
      </c>
      <c r="AW1057" s="34">
        <f>ROUND(G1057*AO1057,2)</f>
        <v>0</v>
      </c>
      <c r="AX1057" s="34">
        <f>ROUND(G1057*AP1057,2)</f>
        <v>0</v>
      </c>
      <c r="AY1057" s="65" t="s">
        <v>1904</v>
      </c>
      <c r="AZ1057" s="65" t="s">
        <v>1905</v>
      </c>
      <c r="BA1057" s="46" t="s">
        <v>136</v>
      </c>
      <c r="BC1057" s="34">
        <f>AW1057+AX1057</f>
        <v>0</v>
      </c>
      <c r="BD1057" s="34">
        <f>H1057/(100-BE1057)*100</f>
        <v>0</v>
      </c>
      <c r="BE1057" s="34">
        <v>0</v>
      </c>
      <c r="BF1057" s="34">
        <f>1057</f>
        <v>1057</v>
      </c>
      <c r="BH1057" s="34">
        <f>G1057*AO1057</f>
        <v>0</v>
      </c>
      <c r="BI1057" s="34">
        <f>G1057*AP1057</f>
        <v>0</v>
      </c>
      <c r="BJ1057" s="34">
        <f>G1057*H1057</f>
        <v>0</v>
      </c>
      <c r="BK1057" s="34"/>
      <c r="BL1057" s="34"/>
      <c r="BW1057" s="34">
        <v>21</v>
      </c>
      <c r="BX1057" s="3" t="s">
        <v>1921</v>
      </c>
    </row>
    <row r="1058" spans="1:76" x14ac:dyDescent="0.25">
      <c r="A1058" s="66"/>
      <c r="D1058" s="67" t="s">
        <v>129</v>
      </c>
      <c r="E1058" s="67" t="s">
        <v>4</v>
      </c>
      <c r="G1058" s="68">
        <v>1</v>
      </c>
      <c r="K1058" s="59"/>
    </row>
    <row r="1059" spans="1:76" x14ac:dyDescent="0.25">
      <c r="A1059" s="1" t="s">
        <v>1923</v>
      </c>
      <c r="B1059" s="2" t="s">
        <v>84</v>
      </c>
      <c r="C1059" s="2" t="s">
        <v>1924</v>
      </c>
      <c r="D1059" s="86" t="s">
        <v>1925</v>
      </c>
      <c r="E1059" s="81"/>
      <c r="F1059" s="2" t="s">
        <v>258</v>
      </c>
      <c r="G1059" s="34">
        <v>1</v>
      </c>
      <c r="H1059" s="64">
        <v>0</v>
      </c>
      <c r="I1059" s="34">
        <f>ROUND(G1059*H1059,2)</f>
        <v>0</v>
      </c>
      <c r="J1059" s="65" t="s">
        <v>398</v>
      </c>
      <c r="K1059" s="59"/>
      <c r="Z1059" s="34">
        <f>ROUND(IF(AQ1059="5",BJ1059,0),2)</f>
        <v>0</v>
      </c>
      <c r="AB1059" s="34">
        <f>ROUND(IF(AQ1059="1",BH1059,0),2)</f>
        <v>0</v>
      </c>
      <c r="AC1059" s="34">
        <f>ROUND(IF(AQ1059="1",BI1059,0),2)</f>
        <v>0</v>
      </c>
      <c r="AD1059" s="34">
        <f>ROUND(IF(AQ1059="7",BH1059,0),2)</f>
        <v>0</v>
      </c>
      <c r="AE1059" s="34">
        <f>ROUND(IF(AQ1059="7",BI1059,0),2)</f>
        <v>0</v>
      </c>
      <c r="AF1059" s="34">
        <f>ROUND(IF(AQ1059="2",BH1059,0),2)</f>
        <v>0</v>
      </c>
      <c r="AG1059" s="34">
        <f>ROUND(IF(AQ1059="2",BI1059,0),2)</f>
        <v>0</v>
      </c>
      <c r="AH1059" s="34">
        <f>ROUND(IF(AQ1059="0",BJ1059,0),2)</f>
        <v>0</v>
      </c>
      <c r="AI1059" s="46" t="s">
        <v>84</v>
      </c>
      <c r="AJ1059" s="34">
        <f>IF(AN1059=0,I1059,0)</f>
        <v>0</v>
      </c>
      <c r="AK1059" s="34">
        <f>IF(AN1059=12,I1059,0)</f>
        <v>0</v>
      </c>
      <c r="AL1059" s="34">
        <f>IF(AN1059=21,I1059,0)</f>
        <v>0</v>
      </c>
      <c r="AN1059" s="34">
        <v>21</v>
      </c>
      <c r="AO1059" s="34">
        <f>H1059*1</f>
        <v>0</v>
      </c>
      <c r="AP1059" s="34">
        <f>H1059*(1-1)</f>
        <v>0</v>
      </c>
      <c r="AQ1059" s="65" t="s">
        <v>1903</v>
      </c>
      <c r="AV1059" s="34">
        <f>ROUND(AW1059+AX1059,2)</f>
        <v>0</v>
      </c>
      <c r="AW1059" s="34">
        <f>ROUND(G1059*AO1059,2)</f>
        <v>0</v>
      </c>
      <c r="AX1059" s="34">
        <f>ROUND(G1059*AP1059,2)</f>
        <v>0</v>
      </c>
      <c r="AY1059" s="65" t="s">
        <v>1904</v>
      </c>
      <c r="AZ1059" s="65" t="s">
        <v>1905</v>
      </c>
      <c r="BA1059" s="46" t="s">
        <v>136</v>
      </c>
      <c r="BC1059" s="34">
        <f>AW1059+AX1059</f>
        <v>0</v>
      </c>
      <c r="BD1059" s="34">
        <f>H1059/(100-BE1059)*100</f>
        <v>0</v>
      </c>
      <c r="BE1059" s="34">
        <v>0</v>
      </c>
      <c r="BF1059" s="34">
        <f>1059</f>
        <v>1059</v>
      </c>
      <c r="BH1059" s="34">
        <f>G1059*AO1059</f>
        <v>0</v>
      </c>
      <c r="BI1059" s="34">
        <f>G1059*AP1059</f>
        <v>0</v>
      </c>
      <c r="BJ1059" s="34">
        <f>G1059*H1059</f>
        <v>0</v>
      </c>
      <c r="BK1059" s="34"/>
      <c r="BL1059" s="34"/>
      <c r="BW1059" s="34">
        <v>21</v>
      </c>
      <c r="BX1059" s="3" t="s">
        <v>1925</v>
      </c>
    </row>
    <row r="1060" spans="1:76" x14ac:dyDescent="0.25">
      <c r="A1060" s="66"/>
      <c r="D1060" s="67" t="s">
        <v>129</v>
      </c>
      <c r="E1060" s="67" t="s">
        <v>4</v>
      </c>
      <c r="G1060" s="68">
        <v>1</v>
      </c>
      <c r="K1060" s="59"/>
    </row>
    <row r="1061" spans="1:76" x14ac:dyDescent="0.25">
      <c r="A1061" s="1" t="s">
        <v>1926</v>
      </c>
      <c r="B1061" s="2" t="s">
        <v>84</v>
      </c>
      <c r="C1061" s="2" t="s">
        <v>1927</v>
      </c>
      <c r="D1061" s="86" t="s">
        <v>1928</v>
      </c>
      <c r="E1061" s="81"/>
      <c r="F1061" s="2" t="s">
        <v>258</v>
      </c>
      <c r="G1061" s="34">
        <v>1</v>
      </c>
      <c r="H1061" s="64">
        <v>0</v>
      </c>
      <c r="I1061" s="34">
        <f>ROUND(G1061*H1061,2)</f>
        <v>0</v>
      </c>
      <c r="J1061" s="65" t="s">
        <v>133</v>
      </c>
      <c r="K1061" s="59"/>
      <c r="Z1061" s="34">
        <f>ROUND(IF(AQ1061="5",BJ1061,0),2)</f>
        <v>0</v>
      </c>
      <c r="AB1061" s="34">
        <f>ROUND(IF(AQ1061="1",BH1061,0),2)</f>
        <v>0</v>
      </c>
      <c r="AC1061" s="34">
        <f>ROUND(IF(AQ1061="1",BI1061,0),2)</f>
        <v>0</v>
      </c>
      <c r="AD1061" s="34">
        <f>ROUND(IF(AQ1061="7",BH1061,0),2)</f>
        <v>0</v>
      </c>
      <c r="AE1061" s="34">
        <f>ROUND(IF(AQ1061="7",BI1061,0),2)</f>
        <v>0</v>
      </c>
      <c r="AF1061" s="34">
        <f>ROUND(IF(AQ1061="2",BH1061,0),2)</f>
        <v>0</v>
      </c>
      <c r="AG1061" s="34">
        <f>ROUND(IF(AQ1061="2",BI1061,0),2)</f>
        <v>0</v>
      </c>
      <c r="AH1061" s="34">
        <f>ROUND(IF(AQ1061="0",BJ1061,0),2)</f>
        <v>0</v>
      </c>
      <c r="AI1061" s="46" t="s">
        <v>84</v>
      </c>
      <c r="AJ1061" s="34">
        <f>IF(AN1061=0,I1061,0)</f>
        <v>0</v>
      </c>
      <c r="AK1061" s="34">
        <f>IF(AN1061=12,I1061,0)</f>
        <v>0</v>
      </c>
      <c r="AL1061" s="34">
        <f>IF(AN1061=21,I1061,0)</f>
        <v>0</v>
      </c>
      <c r="AN1061" s="34">
        <v>21</v>
      </c>
      <c r="AO1061" s="34">
        <f>H1061*1</f>
        <v>0</v>
      </c>
      <c r="AP1061" s="34">
        <f>H1061*(1-1)</f>
        <v>0</v>
      </c>
      <c r="AQ1061" s="65" t="s">
        <v>1903</v>
      </c>
      <c r="AV1061" s="34">
        <f>ROUND(AW1061+AX1061,2)</f>
        <v>0</v>
      </c>
      <c r="AW1061" s="34">
        <f>ROUND(G1061*AO1061,2)</f>
        <v>0</v>
      </c>
      <c r="AX1061" s="34">
        <f>ROUND(G1061*AP1061,2)</f>
        <v>0</v>
      </c>
      <c r="AY1061" s="65" t="s">
        <v>1904</v>
      </c>
      <c r="AZ1061" s="65" t="s">
        <v>1905</v>
      </c>
      <c r="BA1061" s="46" t="s">
        <v>136</v>
      </c>
      <c r="BC1061" s="34">
        <f>AW1061+AX1061</f>
        <v>0</v>
      </c>
      <c r="BD1061" s="34">
        <f>H1061/(100-BE1061)*100</f>
        <v>0</v>
      </c>
      <c r="BE1061" s="34">
        <v>0</v>
      </c>
      <c r="BF1061" s="34">
        <f>1061</f>
        <v>1061</v>
      </c>
      <c r="BH1061" s="34">
        <f>G1061*AO1061</f>
        <v>0</v>
      </c>
      <c r="BI1061" s="34">
        <f>G1061*AP1061</f>
        <v>0</v>
      </c>
      <c r="BJ1061" s="34">
        <f>G1061*H1061</f>
        <v>0</v>
      </c>
      <c r="BK1061" s="34"/>
      <c r="BL1061" s="34"/>
      <c r="BW1061" s="34">
        <v>21</v>
      </c>
      <c r="BX1061" s="3" t="s">
        <v>1928</v>
      </c>
    </row>
    <row r="1062" spans="1:76" x14ac:dyDescent="0.25">
      <c r="A1062" s="66"/>
      <c r="D1062" s="67" t="s">
        <v>129</v>
      </c>
      <c r="E1062" s="67" t="s">
        <v>4</v>
      </c>
      <c r="G1062" s="68">
        <v>1</v>
      </c>
      <c r="K1062" s="59"/>
    </row>
    <row r="1063" spans="1:76" x14ac:dyDescent="0.25">
      <c r="A1063" s="1" t="s">
        <v>1929</v>
      </c>
      <c r="B1063" s="2" t="s">
        <v>84</v>
      </c>
      <c r="C1063" s="2" t="s">
        <v>1930</v>
      </c>
      <c r="D1063" s="86" t="s">
        <v>1931</v>
      </c>
      <c r="E1063" s="81"/>
      <c r="F1063" s="2" t="s">
        <v>1932</v>
      </c>
      <c r="G1063" s="34">
        <v>0</v>
      </c>
      <c r="H1063" s="64">
        <v>0</v>
      </c>
      <c r="I1063" s="34">
        <f>ROUND(G1063*H1063,2)</f>
        <v>0</v>
      </c>
      <c r="J1063" s="65" t="s">
        <v>133</v>
      </c>
      <c r="K1063" s="59"/>
      <c r="Z1063" s="34">
        <f>ROUND(IF(AQ1063="5",BJ1063,0),2)</f>
        <v>0</v>
      </c>
      <c r="AB1063" s="34">
        <f>ROUND(IF(AQ1063="1",BH1063,0),2)</f>
        <v>0</v>
      </c>
      <c r="AC1063" s="34">
        <f>ROUND(IF(AQ1063="1",BI1063,0),2)</f>
        <v>0</v>
      </c>
      <c r="AD1063" s="34">
        <f>ROUND(IF(AQ1063="7",BH1063,0),2)</f>
        <v>0</v>
      </c>
      <c r="AE1063" s="34">
        <f>ROUND(IF(AQ1063="7",BI1063,0),2)</f>
        <v>0</v>
      </c>
      <c r="AF1063" s="34">
        <f>ROUND(IF(AQ1063="2",BH1063,0),2)</f>
        <v>0</v>
      </c>
      <c r="AG1063" s="34">
        <f>ROUND(IF(AQ1063="2",BI1063,0),2)</f>
        <v>0</v>
      </c>
      <c r="AH1063" s="34">
        <f>ROUND(IF(AQ1063="0",BJ1063,0),2)</f>
        <v>0</v>
      </c>
      <c r="AI1063" s="46" t="s">
        <v>84</v>
      </c>
      <c r="AJ1063" s="34">
        <f>IF(AN1063=0,I1063,0)</f>
        <v>0</v>
      </c>
      <c r="AK1063" s="34">
        <f>IF(AN1063=12,I1063,0)</f>
        <v>0</v>
      </c>
      <c r="AL1063" s="34">
        <f>IF(AN1063=21,I1063,0)</f>
        <v>0</v>
      </c>
      <c r="AN1063" s="34">
        <v>21</v>
      </c>
      <c r="AO1063" s="34">
        <f>H1063*1</f>
        <v>0</v>
      </c>
      <c r="AP1063" s="34">
        <f>H1063*(1-1)</f>
        <v>0</v>
      </c>
      <c r="AQ1063" s="65" t="s">
        <v>1903</v>
      </c>
      <c r="AV1063" s="34">
        <f>ROUND(AW1063+AX1063,2)</f>
        <v>0</v>
      </c>
      <c r="AW1063" s="34">
        <f>ROUND(G1063*AO1063,2)</f>
        <v>0</v>
      </c>
      <c r="AX1063" s="34">
        <f>ROUND(G1063*AP1063,2)</f>
        <v>0</v>
      </c>
      <c r="AY1063" s="65" t="s">
        <v>1904</v>
      </c>
      <c r="AZ1063" s="65" t="s">
        <v>1905</v>
      </c>
      <c r="BA1063" s="46" t="s">
        <v>136</v>
      </c>
      <c r="BC1063" s="34">
        <f>AW1063+AX1063</f>
        <v>0</v>
      </c>
      <c r="BD1063" s="34">
        <f>H1063/(100-BE1063)*100</f>
        <v>0</v>
      </c>
      <c r="BE1063" s="34">
        <v>0</v>
      </c>
      <c r="BF1063" s="34">
        <f>1063</f>
        <v>1063</v>
      </c>
      <c r="BH1063" s="34">
        <f>G1063*AO1063</f>
        <v>0</v>
      </c>
      <c r="BI1063" s="34">
        <f>G1063*AP1063</f>
        <v>0</v>
      </c>
      <c r="BJ1063" s="34">
        <f>G1063*H1063</f>
        <v>0</v>
      </c>
      <c r="BK1063" s="34"/>
      <c r="BL1063" s="34"/>
      <c r="BW1063" s="34">
        <v>21</v>
      </c>
      <c r="BX1063" s="3" t="s">
        <v>1931</v>
      </c>
    </row>
    <row r="1064" spans="1:76" x14ac:dyDescent="0.25">
      <c r="A1064" s="1" t="s">
        <v>1933</v>
      </c>
      <c r="B1064" s="2" t="s">
        <v>84</v>
      </c>
      <c r="C1064" s="2" t="s">
        <v>1934</v>
      </c>
      <c r="D1064" s="86" t="s">
        <v>1935</v>
      </c>
      <c r="E1064" s="81"/>
      <c r="F1064" s="2" t="s">
        <v>258</v>
      </c>
      <c r="G1064" s="34">
        <v>1</v>
      </c>
      <c r="H1064" s="64">
        <v>0</v>
      </c>
      <c r="I1064" s="34">
        <f>ROUND(G1064*H1064,2)</f>
        <v>0</v>
      </c>
      <c r="J1064" s="65" t="s">
        <v>133</v>
      </c>
      <c r="K1064" s="59"/>
      <c r="Z1064" s="34">
        <f>ROUND(IF(AQ1064="5",BJ1064,0),2)</f>
        <v>0</v>
      </c>
      <c r="AB1064" s="34">
        <f>ROUND(IF(AQ1064="1",BH1064,0),2)</f>
        <v>0</v>
      </c>
      <c r="AC1064" s="34">
        <f>ROUND(IF(AQ1064="1",BI1064,0),2)</f>
        <v>0</v>
      </c>
      <c r="AD1064" s="34">
        <f>ROUND(IF(AQ1064="7",BH1064,0),2)</f>
        <v>0</v>
      </c>
      <c r="AE1064" s="34">
        <f>ROUND(IF(AQ1064="7",BI1064,0),2)</f>
        <v>0</v>
      </c>
      <c r="AF1064" s="34">
        <f>ROUND(IF(AQ1064="2",BH1064,0),2)</f>
        <v>0</v>
      </c>
      <c r="AG1064" s="34">
        <f>ROUND(IF(AQ1064="2",BI1064,0),2)</f>
        <v>0</v>
      </c>
      <c r="AH1064" s="34">
        <f>ROUND(IF(AQ1064="0",BJ1064,0),2)</f>
        <v>0</v>
      </c>
      <c r="AI1064" s="46" t="s">
        <v>84</v>
      </c>
      <c r="AJ1064" s="34">
        <f>IF(AN1064=0,I1064,0)</f>
        <v>0</v>
      </c>
      <c r="AK1064" s="34">
        <f>IF(AN1064=12,I1064,0)</f>
        <v>0</v>
      </c>
      <c r="AL1064" s="34">
        <f>IF(AN1064=21,I1064,0)</f>
        <v>0</v>
      </c>
      <c r="AN1064" s="34">
        <v>21</v>
      </c>
      <c r="AO1064" s="34">
        <f>H1064*1</f>
        <v>0</v>
      </c>
      <c r="AP1064" s="34">
        <f>H1064*(1-1)</f>
        <v>0</v>
      </c>
      <c r="AQ1064" s="65" t="s">
        <v>1903</v>
      </c>
      <c r="AV1064" s="34">
        <f>ROUND(AW1064+AX1064,2)</f>
        <v>0</v>
      </c>
      <c r="AW1064" s="34">
        <f>ROUND(G1064*AO1064,2)</f>
        <v>0</v>
      </c>
      <c r="AX1064" s="34">
        <f>ROUND(G1064*AP1064,2)</f>
        <v>0</v>
      </c>
      <c r="AY1064" s="65" t="s">
        <v>1904</v>
      </c>
      <c r="AZ1064" s="65" t="s">
        <v>1905</v>
      </c>
      <c r="BA1064" s="46" t="s">
        <v>136</v>
      </c>
      <c r="BC1064" s="34">
        <f>AW1064+AX1064</f>
        <v>0</v>
      </c>
      <c r="BD1064" s="34">
        <f>H1064/(100-BE1064)*100</f>
        <v>0</v>
      </c>
      <c r="BE1064" s="34">
        <v>0</v>
      </c>
      <c r="BF1064" s="34">
        <f>1064</f>
        <v>1064</v>
      </c>
      <c r="BH1064" s="34">
        <f>G1064*AO1064</f>
        <v>0</v>
      </c>
      <c r="BI1064" s="34">
        <f>G1064*AP1064</f>
        <v>0</v>
      </c>
      <c r="BJ1064" s="34">
        <f>G1064*H1064</f>
        <v>0</v>
      </c>
      <c r="BK1064" s="34"/>
      <c r="BL1064" s="34"/>
      <c r="BW1064" s="34">
        <v>21</v>
      </c>
      <c r="BX1064" s="3" t="s">
        <v>1935</v>
      </c>
    </row>
    <row r="1065" spans="1:76" x14ac:dyDescent="0.25">
      <c r="A1065" s="66"/>
      <c r="D1065" s="67" t="s">
        <v>129</v>
      </c>
      <c r="E1065" s="67" t="s">
        <v>4</v>
      </c>
      <c r="G1065" s="68">
        <v>1</v>
      </c>
      <c r="K1065" s="59"/>
    </row>
    <row r="1066" spans="1:76" x14ac:dyDescent="0.25">
      <c r="A1066" s="1" t="s">
        <v>1936</v>
      </c>
      <c r="B1066" s="2" t="s">
        <v>84</v>
      </c>
      <c r="C1066" s="2" t="s">
        <v>1937</v>
      </c>
      <c r="D1066" s="86" t="s">
        <v>1938</v>
      </c>
      <c r="E1066" s="81"/>
      <c r="F1066" s="2" t="s">
        <v>258</v>
      </c>
      <c r="G1066" s="34">
        <v>4</v>
      </c>
      <c r="H1066" s="64">
        <v>0</v>
      </c>
      <c r="I1066" s="34">
        <f>ROUND(G1066*H1066,2)</f>
        <v>0</v>
      </c>
      <c r="J1066" s="65" t="s">
        <v>133</v>
      </c>
      <c r="K1066" s="59"/>
      <c r="Z1066" s="34">
        <f>ROUND(IF(AQ1066="5",BJ1066,0),2)</f>
        <v>0</v>
      </c>
      <c r="AB1066" s="34">
        <f>ROUND(IF(AQ1066="1",BH1066,0),2)</f>
        <v>0</v>
      </c>
      <c r="AC1066" s="34">
        <f>ROUND(IF(AQ1066="1",BI1066,0),2)</f>
        <v>0</v>
      </c>
      <c r="AD1066" s="34">
        <f>ROUND(IF(AQ1066="7",BH1066,0),2)</f>
        <v>0</v>
      </c>
      <c r="AE1066" s="34">
        <f>ROUND(IF(AQ1066="7",BI1066,0),2)</f>
        <v>0</v>
      </c>
      <c r="AF1066" s="34">
        <f>ROUND(IF(AQ1066="2",BH1066,0),2)</f>
        <v>0</v>
      </c>
      <c r="AG1066" s="34">
        <f>ROUND(IF(AQ1066="2",BI1066,0),2)</f>
        <v>0</v>
      </c>
      <c r="AH1066" s="34">
        <f>ROUND(IF(AQ1066="0",BJ1066,0),2)</f>
        <v>0</v>
      </c>
      <c r="AI1066" s="46" t="s">
        <v>84</v>
      </c>
      <c r="AJ1066" s="34">
        <f>IF(AN1066=0,I1066,0)</f>
        <v>0</v>
      </c>
      <c r="AK1066" s="34">
        <f>IF(AN1066=12,I1066,0)</f>
        <v>0</v>
      </c>
      <c r="AL1066" s="34">
        <f>IF(AN1066=21,I1066,0)</f>
        <v>0</v>
      </c>
      <c r="AN1066" s="34">
        <v>21</v>
      </c>
      <c r="AO1066" s="34">
        <f>H1066*1</f>
        <v>0</v>
      </c>
      <c r="AP1066" s="34">
        <f>H1066*(1-1)</f>
        <v>0</v>
      </c>
      <c r="AQ1066" s="65" t="s">
        <v>1903</v>
      </c>
      <c r="AV1066" s="34">
        <f>ROUND(AW1066+AX1066,2)</f>
        <v>0</v>
      </c>
      <c r="AW1066" s="34">
        <f>ROUND(G1066*AO1066,2)</f>
        <v>0</v>
      </c>
      <c r="AX1066" s="34">
        <f>ROUND(G1066*AP1066,2)</f>
        <v>0</v>
      </c>
      <c r="AY1066" s="65" t="s">
        <v>1904</v>
      </c>
      <c r="AZ1066" s="65" t="s">
        <v>1905</v>
      </c>
      <c r="BA1066" s="46" t="s">
        <v>136</v>
      </c>
      <c r="BC1066" s="34">
        <f>AW1066+AX1066</f>
        <v>0</v>
      </c>
      <c r="BD1066" s="34">
        <f>H1066/(100-BE1066)*100</f>
        <v>0</v>
      </c>
      <c r="BE1066" s="34">
        <v>0</v>
      </c>
      <c r="BF1066" s="34">
        <f>1066</f>
        <v>1066</v>
      </c>
      <c r="BH1066" s="34">
        <f>G1066*AO1066</f>
        <v>0</v>
      </c>
      <c r="BI1066" s="34">
        <f>G1066*AP1066</f>
        <v>0</v>
      </c>
      <c r="BJ1066" s="34">
        <f>G1066*H1066</f>
        <v>0</v>
      </c>
      <c r="BK1066" s="34"/>
      <c r="BL1066" s="34"/>
      <c r="BW1066" s="34">
        <v>21</v>
      </c>
      <c r="BX1066" s="3" t="s">
        <v>1938</v>
      </c>
    </row>
    <row r="1067" spans="1:76" x14ac:dyDescent="0.25">
      <c r="A1067" s="66"/>
      <c r="D1067" s="67" t="s">
        <v>161</v>
      </c>
      <c r="E1067" s="67" t="s">
        <v>4</v>
      </c>
      <c r="G1067" s="68">
        <v>4</v>
      </c>
      <c r="K1067" s="59"/>
    </row>
    <row r="1068" spans="1:76" x14ac:dyDescent="0.25">
      <c r="A1068" s="60" t="s">
        <v>4</v>
      </c>
      <c r="B1068" s="61" t="s">
        <v>84</v>
      </c>
      <c r="C1068" s="61" t="s">
        <v>1939</v>
      </c>
      <c r="D1068" s="167" t="s">
        <v>57</v>
      </c>
      <c r="E1068" s="168"/>
      <c r="F1068" s="62" t="s">
        <v>79</v>
      </c>
      <c r="G1068" s="62" t="s">
        <v>79</v>
      </c>
      <c r="H1068" s="63" t="s">
        <v>79</v>
      </c>
      <c r="I1068" s="39">
        <f>I1069+I1072+I1075</f>
        <v>0</v>
      </c>
      <c r="J1068" s="46" t="s">
        <v>4</v>
      </c>
      <c r="K1068" s="59"/>
      <c r="AI1068" s="46" t="s">
        <v>84</v>
      </c>
    </row>
    <row r="1069" spans="1:76" x14ac:dyDescent="0.25">
      <c r="A1069" s="60" t="s">
        <v>4</v>
      </c>
      <c r="B1069" s="61" t="s">
        <v>84</v>
      </c>
      <c r="C1069" s="61" t="s">
        <v>1940</v>
      </c>
      <c r="D1069" s="167" t="s">
        <v>68</v>
      </c>
      <c r="E1069" s="168"/>
      <c r="F1069" s="62" t="s">
        <v>79</v>
      </c>
      <c r="G1069" s="62" t="s">
        <v>79</v>
      </c>
      <c r="H1069" s="63" t="s">
        <v>79</v>
      </c>
      <c r="I1069" s="39">
        <f>SUM(I1070:I1070)</f>
        <v>0</v>
      </c>
      <c r="J1069" s="46" t="s">
        <v>4</v>
      </c>
      <c r="K1069" s="59"/>
      <c r="AI1069" s="46" t="s">
        <v>84</v>
      </c>
      <c r="AS1069" s="39">
        <f>SUM(AJ1070:AJ1070)</f>
        <v>0</v>
      </c>
      <c r="AT1069" s="39">
        <f>SUM(AK1070:AK1070)</f>
        <v>0</v>
      </c>
      <c r="AU1069" s="39">
        <f>SUM(AL1070:AL1070)</f>
        <v>0</v>
      </c>
    </row>
    <row r="1070" spans="1:76" x14ac:dyDescent="0.25">
      <c r="A1070" s="1" t="s">
        <v>1941</v>
      </c>
      <c r="B1070" s="2" t="s">
        <v>84</v>
      </c>
      <c r="C1070" s="2" t="s">
        <v>1942</v>
      </c>
      <c r="D1070" s="86" t="s">
        <v>1943</v>
      </c>
      <c r="E1070" s="81"/>
      <c r="F1070" s="2" t="s">
        <v>1944</v>
      </c>
      <c r="G1070" s="34">
        <v>1</v>
      </c>
      <c r="H1070" s="64">
        <v>0</v>
      </c>
      <c r="I1070" s="34">
        <f>ROUND(G1070*H1070,2)</f>
        <v>0</v>
      </c>
      <c r="J1070" s="65" t="s">
        <v>4</v>
      </c>
      <c r="K1070" s="59"/>
      <c r="Z1070" s="34">
        <f>ROUND(IF(AQ1070="5",BJ1070,0),2)</f>
        <v>0</v>
      </c>
      <c r="AB1070" s="34">
        <f>ROUND(IF(AQ1070="1",BH1070,0),2)</f>
        <v>0</v>
      </c>
      <c r="AC1070" s="34">
        <f>ROUND(IF(AQ1070="1",BI1070,0),2)</f>
        <v>0</v>
      </c>
      <c r="AD1070" s="34">
        <f>ROUND(IF(AQ1070="7",BH1070,0),2)</f>
        <v>0</v>
      </c>
      <c r="AE1070" s="34">
        <f>ROUND(IF(AQ1070="7",BI1070,0),2)</f>
        <v>0</v>
      </c>
      <c r="AF1070" s="34">
        <f>ROUND(IF(AQ1070="2",BH1070,0),2)</f>
        <v>0</v>
      </c>
      <c r="AG1070" s="34">
        <f>ROUND(IF(AQ1070="2",BI1070,0),2)</f>
        <v>0</v>
      </c>
      <c r="AH1070" s="34">
        <f>ROUND(IF(AQ1070="0",BJ1070,0),2)</f>
        <v>0</v>
      </c>
      <c r="AI1070" s="46" t="s">
        <v>84</v>
      </c>
      <c r="AJ1070" s="34">
        <f>IF(AN1070=0,I1070,0)</f>
        <v>0</v>
      </c>
      <c r="AK1070" s="34">
        <f>IF(AN1070=12,I1070,0)</f>
        <v>0</v>
      </c>
      <c r="AL1070" s="34">
        <f>IF(AN1070=21,I1070,0)</f>
        <v>0</v>
      </c>
      <c r="AN1070" s="34">
        <v>21</v>
      </c>
      <c r="AO1070" s="34">
        <f>H1070*1</f>
        <v>0</v>
      </c>
      <c r="AP1070" s="34">
        <f>H1070*(1-1)</f>
        <v>0</v>
      </c>
      <c r="AQ1070" s="65" t="s">
        <v>837</v>
      </c>
      <c r="AV1070" s="34">
        <f>ROUND(AW1070+AX1070,2)</f>
        <v>0</v>
      </c>
      <c r="AW1070" s="34">
        <f>ROUND(G1070*AO1070,2)</f>
        <v>0</v>
      </c>
      <c r="AX1070" s="34">
        <f>ROUND(G1070*AP1070,2)</f>
        <v>0</v>
      </c>
      <c r="AY1070" s="65" t="s">
        <v>1945</v>
      </c>
      <c r="AZ1070" s="65" t="s">
        <v>1946</v>
      </c>
      <c r="BA1070" s="46" t="s">
        <v>136</v>
      </c>
      <c r="BC1070" s="34">
        <f>AW1070+AX1070</f>
        <v>0</v>
      </c>
      <c r="BD1070" s="34">
        <f>H1070/(100-BE1070)*100</f>
        <v>0</v>
      </c>
      <c r="BE1070" s="34">
        <v>0</v>
      </c>
      <c r="BF1070" s="34">
        <f>1070</f>
        <v>1070</v>
      </c>
      <c r="BH1070" s="34">
        <f>G1070*AO1070</f>
        <v>0</v>
      </c>
      <c r="BI1070" s="34">
        <f>G1070*AP1070</f>
        <v>0</v>
      </c>
      <c r="BJ1070" s="34">
        <f>G1070*H1070</f>
        <v>0</v>
      </c>
      <c r="BK1070" s="34"/>
      <c r="BL1070" s="34"/>
      <c r="BM1070" s="34">
        <f>G1070*H1070</f>
        <v>0</v>
      </c>
      <c r="BW1070" s="34">
        <v>21</v>
      </c>
      <c r="BX1070" s="3" t="s">
        <v>1943</v>
      </c>
    </row>
    <row r="1071" spans="1:76" x14ac:dyDescent="0.25">
      <c r="A1071" s="66"/>
      <c r="D1071" s="67" t="s">
        <v>129</v>
      </c>
      <c r="E1071" s="67" t="s">
        <v>4</v>
      </c>
      <c r="G1071" s="68">
        <v>1</v>
      </c>
      <c r="K1071" s="59"/>
    </row>
    <row r="1072" spans="1:76" x14ac:dyDescent="0.25">
      <c r="A1072" s="60" t="s">
        <v>4</v>
      </c>
      <c r="B1072" s="61" t="s">
        <v>84</v>
      </c>
      <c r="C1072" s="61" t="s">
        <v>1947</v>
      </c>
      <c r="D1072" s="167" t="s">
        <v>70</v>
      </c>
      <c r="E1072" s="168"/>
      <c r="F1072" s="62" t="s">
        <v>79</v>
      </c>
      <c r="G1072" s="62" t="s">
        <v>79</v>
      </c>
      <c r="H1072" s="63" t="s">
        <v>79</v>
      </c>
      <c r="I1072" s="39">
        <f>SUM(I1073:I1073)</f>
        <v>0</v>
      </c>
      <c r="J1072" s="46" t="s">
        <v>4</v>
      </c>
      <c r="K1072" s="59"/>
      <c r="AI1072" s="46" t="s">
        <v>84</v>
      </c>
      <c r="AS1072" s="39">
        <f>SUM(AJ1073:AJ1073)</f>
        <v>0</v>
      </c>
      <c r="AT1072" s="39">
        <f>SUM(AK1073:AK1073)</f>
        <v>0</v>
      </c>
      <c r="AU1072" s="39">
        <f>SUM(AL1073:AL1073)</f>
        <v>0</v>
      </c>
    </row>
    <row r="1073" spans="1:76" x14ac:dyDescent="0.25">
      <c r="A1073" s="1" t="s">
        <v>1948</v>
      </c>
      <c r="B1073" s="2" t="s">
        <v>84</v>
      </c>
      <c r="C1073" s="2" t="s">
        <v>1949</v>
      </c>
      <c r="D1073" s="86" t="s">
        <v>1950</v>
      </c>
      <c r="E1073" s="81"/>
      <c r="F1073" s="2" t="s">
        <v>1944</v>
      </c>
      <c r="G1073" s="34">
        <v>1</v>
      </c>
      <c r="H1073" s="64">
        <v>0</v>
      </c>
      <c r="I1073" s="34">
        <f>ROUND(G1073*H1073,2)</f>
        <v>0</v>
      </c>
      <c r="J1073" s="65" t="s">
        <v>4</v>
      </c>
      <c r="K1073" s="59"/>
      <c r="Z1073" s="34">
        <f>ROUND(IF(AQ1073="5",BJ1073,0),2)</f>
        <v>0</v>
      </c>
      <c r="AB1073" s="34">
        <f>ROUND(IF(AQ1073="1",BH1073,0),2)</f>
        <v>0</v>
      </c>
      <c r="AC1073" s="34">
        <f>ROUND(IF(AQ1073="1",BI1073,0),2)</f>
        <v>0</v>
      </c>
      <c r="AD1073" s="34">
        <f>ROUND(IF(AQ1073="7",BH1073,0),2)</f>
        <v>0</v>
      </c>
      <c r="AE1073" s="34">
        <f>ROUND(IF(AQ1073="7",BI1073,0),2)</f>
        <v>0</v>
      </c>
      <c r="AF1073" s="34">
        <f>ROUND(IF(AQ1073="2",BH1073,0),2)</f>
        <v>0</v>
      </c>
      <c r="AG1073" s="34">
        <f>ROUND(IF(AQ1073="2",BI1073,0),2)</f>
        <v>0</v>
      </c>
      <c r="AH1073" s="34">
        <f>ROUND(IF(AQ1073="0",BJ1073,0),2)</f>
        <v>0</v>
      </c>
      <c r="AI1073" s="46" t="s">
        <v>84</v>
      </c>
      <c r="AJ1073" s="34">
        <f>IF(AN1073=0,I1073,0)</f>
        <v>0</v>
      </c>
      <c r="AK1073" s="34">
        <f>IF(AN1073=12,I1073,0)</f>
        <v>0</v>
      </c>
      <c r="AL1073" s="34">
        <f>IF(AN1073=21,I1073,0)</f>
        <v>0</v>
      </c>
      <c r="AN1073" s="34">
        <v>21</v>
      </c>
      <c r="AO1073" s="34">
        <f>H1073*1</f>
        <v>0</v>
      </c>
      <c r="AP1073" s="34">
        <f>H1073*(1-1)</f>
        <v>0</v>
      </c>
      <c r="AQ1073" s="65" t="s">
        <v>837</v>
      </c>
      <c r="AV1073" s="34">
        <f>ROUND(AW1073+AX1073,2)</f>
        <v>0</v>
      </c>
      <c r="AW1073" s="34">
        <f>ROUND(G1073*AO1073,2)</f>
        <v>0</v>
      </c>
      <c r="AX1073" s="34">
        <f>ROUND(G1073*AP1073,2)</f>
        <v>0</v>
      </c>
      <c r="AY1073" s="65" t="s">
        <v>1951</v>
      </c>
      <c r="AZ1073" s="65" t="s">
        <v>1946</v>
      </c>
      <c r="BA1073" s="46" t="s">
        <v>136</v>
      </c>
      <c r="BC1073" s="34">
        <f>AW1073+AX1073</f>
        <v>0</v>
      </c>
      <c r="BD1073" s="34">
        <f>H1073/(100-BE1073)*100</f>
        <v>0</v>
      </c>
      <c r="BE1073" s="34">
        <v>0</v>
      </c>
      <c r="BF1073" s="34">
        <f>1073</f>
        <v>1073</v>
      </c>
      <c r="BH1073" s="34">
        <f>G1073*AO1073</f>
        <v>0</v>
      </c>
      <c r="BI1073" s="34">
        <f>G1073*AP1073</f>
        <v>0</v>
      </c>
      <c r="BJ1073" s="34">
        <f>G1073*H1073</f>
        <v>0</v>
      </c>
      <c r="BK1073" s="34"/>
      <c r="BL1073" s="34"/>
      <c r="BP1073" s="34">
        <f>G1073*H1073</f>
        <v>0</v>
      </c>
      <c r="BW1073" s="34">
        <v>21</v>
      </c>
      <c r="BX1073" s="3" t="s">
        <v>1950</v>
      </c>
    </row>
    <row r="1074" spans="1:76" x14ac:dyDescent="0.25">
      <c r="A1074" s="66"/>
      <c r="D1074" s="67" t="s">
        <v>129</v>
      </c>
      <c r="E1074" s="67" t="s">
        <v>4</v>
      </c>
      <c r="G1074" s="68">
        <v>1</v>
      </c>
      <c r="K1074" s="59"/>
    </row>
    <row r="1075" spans="1:76" x14ac:dyDescent="0.25">
      <c r="A1075" s="60" t="s">
        <v>4</v>
      </c>
      <c r="B1075" s="61" t="s">
        <v>84</v>
      </c>
      <c r="C1075" s="61" t="s">
        <v>1952</v>
      </c>
      <c r="D1075" s="167" t="s">
        <v>73</v>
      </c>
      <c r="E1075" s="168"/>
      <c r="F1075" s="62" t="s">
        <v>79</v>
      </c>
      <c r="G1075" s="62" t="s">
        <v>79</v>
      </c>
      <c r="H1075" s="63" t="s">
        <v>79</v>
      </c>
      <c r="I1075" s="39">
        <f>SUM(I1076:I1076)</f>
        <v>0</v>
      </c>
      <c r="J1075" s="46" t="s">
        <v>4</v>
      </c>
      <c r="K1075" s="59"/>
      <c r="AI1075" s="46" t="s">
        <v>84</v>
      </c>
      <c r="AS1075" s="39">
        <f>SUM(AJ1076:AJ1076)</f>
        <v>0</v>
      </c>
      <c r="AT1075" s="39">
        <f>SUM(AK1076:AK1076)</f>
        <v>0</v>
      </c>
      <c r="AU1075" s="39">
        <f>SUM(AL1076:AL1076)</f>
        <v>0</v>
      </c>
    </row>
    <row r="1076" spans="1:76" x14ac:dyDescent="0.25">
      <c r="A1076" s="1" t="s">
        <v>1953</v>
      </c>
      <c r="B1076" s="2" t="s">
        <v>84</v>
      </c>
      <c r="C1076" s="2" t="s">
        <v>1954</v>
      </c>
      <c r="D1076" s="86" t="s">
        <v>1955</v>
      </c>
      <c r="E1076" s="81"/>
      <c r="F1076" s="2" t="s">
        <v>132</v>
      </c>
      <c r="G1076" s="34">
        <v>100</v>
      </c>
      <c r="H1076" s="64">
        <v>0</v>
      </c>
      <c r="I1076" s="34">
        <f>ROUND(G1076*H1076,2)</f>
        <v>0</v>
      </c>
      <c r="J1076" s="65" t="s">
        <v>133</v>
      </c>
      <c r="K1076" s="59"/>
      <c r="Z1076" s="34">
        <f>ROUND(IF(AQ1076="5",BJ1076,0),2)</f>
        <v>0</v>
      </c>
      <c r="AB1076" s="34">
        <f>ROUND(IF(AQ1076="1",BH1076,0),2)</f>
        <v>0</v>
      </c>
      <c r="AC1076" s="34">
        <f>ROUND(IF(AQ1076="1",BI1076,0),2)</f>
        <v>0</v>
      </c>
      <c r="AD1076" s="34">
        <f>ROUND(IF(AQ1076="7",BH1076,0),2)</f>
        <v>0</v>
      </c>
      <c r="AE1076" s="34">
        <f>ROUND(IF(AQ1076="7",BI1076,0),2)</f>
        <v>0</v>
      </c>
      <c r="AF1076" s="34">
        <f>ROUND(IF(AQ1076="2",BH1076,0),2)</f>
        <v>0</v>
      </c>
      <c r="AG1076" s="34">
        <f>ROUND(IF(AQ1076="2",BI1076,0),2)</f>
        <v>0</v>
      </c>
      <c r="AH1076" s="34">
        <f>ROUND(IF(AQ1076="0",BJ1076,0),2)</f>
        <v>0</v>
      </c>
      <c r="AI1076" s="46" t="s">
        <v>84</v>
      </c>
      <c r="AJ1076" s="34">
        <f>IF(AN1076=0,I1076,0)</f>
        <v>0</v>
      </c>
      <c r="AK1076" s="34">
        <f>IF(AN1076=12,I1076,0)</f>
        <v>0</v>
      </c>
      <c r="AL1076" s="34">
        <f>IF(AN1076=21,I1076,0)</f>
        <v>0</v>
      </c>
      <c r="AN1076" s="34">
        <v>21</v>
      </c>
      <c r="AO1076" s="34">
        <f>H1076*0.689635922</f>
        <v>0</v>
      </c>
      <c r="AP1076" s="34">
        <f>H1076*(1-0.689635922)</f>
        <v>0</v>
      </c>
      <c r="AQ1076" s="65" t="s">
        <v>837</v>
      </c>
      <c r="AV1076" s="34">
        <f>ROUND(AW1076+AX1076,2)</f>
        <v>0</v>
      </c>
      <c r="AW1076" s="34">
        <f>ROUND(G1076*AO1076,2)</f>
        <v>0</v>
      </c>
      <c r="AX1076" s="34">
        <f>ROUND(G1076*AP1076,2)</f>
        <v>0</v>
      </c>
      <c r="AY1076" s="65" t="s">
        <v>1956</v>
      </c>
      <c r="AZ1076" s="65" t="s">
        <v>1946</v>
      </c>
      <c r="BA1076" s="46" t="s">
        <v>136</v>
      </c>
      <c r="BC1076" s="34">
        <f>AW1076+AX1076</f>
        <v>0</v>
      </c>
      <c r="BD1076" s="34">
        <f>H1076/(100-BE1076)*100</f>
        <v>0</v>
      </c>
      <c r="BE1076" s="34">
        <v>0</v>
      </c>
      <c r="BF1076" s="34">
        <f>1076</f>
        <v>1076</v>
      </c>
      <c r="BH1076" s="34">
        <f>G1076*AO1076</f>
        <v>0</v>
      </c>
      <c r="BI1076" s="34">
        <f>G1076*AP1076</f>
        <v>0</v>
      </c>
      <c r="BJ1076" s="34">
        <f>G1076*H1076</f>
        <v>0</v>
      </c>
      <c r="BK1076" s="34"/>
      <c r="BL1076" s="34"/>
      <c r="BU1076" s="34">
        <f>G1076*H1076</f>
        <v>0</v>
      </c>
      <c r="BW1076" s="34">
        <v>21</v>
      </c>
      <c r="BX1076" s="3" t="s">
        <v>1955</v>
      </c>
    </row>
    <row r="1077" spans="1:76" ht="13.5" customHeight="1" x14ac:dyDescent="0.25">
      <c r="A1077" s="66"/>
      <c r="C1077" s="69" t="s">
        <v>204</v>
      </c>
      <c r="D1077" s="169" t="s">
        <v>1957</v>
      </c>
      <c r="E1077" s="170"/>
      <c r="F1077" s="170"/>
      <c r="G1077" s="170"/>
      <c r="H1077" s="171"/>
      <c r="I1077" s="170"/>
      <c r="J1077" s="170"/>
      <c r="K1077" s="172"/>
    </row>
    <row r="1078" spans="1:76" x14ac:dyDescent="0.25">
      <c r="A1078" s="66"/>
      <c r="D1078" s="67" t="s">
        <v>842</v>
      </c>
      <c r="E1078" s="67" t="s">
        <v>1958</v>
      </c>
      <c r="G1078" s="68">
        <v>100</v>
      </c>
      <c r="K1078" s="59"/>
    </row>
    <row r="1079" spans="1:76" x14ac:dyDescent="0.25">
      <c r="A1079" s="60" t="s">
        <v>4</v>
      </c>
      <c r="B1079" s="61" t="s">
        <v>87</v>
      </c>
      <c r="C1079" s="61" t="s">
        <v>4</v>
      </c>
      <c r="D1079" s="167" t="s">
        <v>88</v>
      </c>
      <c r="E1079" s="168"/>
      <c r="F1079" s="62" t="s">
        <v>79</v>
      </c>
      <c r="G1079" s="62" t="s">
        <v>79</v>
      </c>
      <c r="H1079" s="63" t="s">
        <v>79</v>
      </c>
      <c r="I1079" s="39">
        <f>I1080+I1142</f>
        <v>0</v>
      </c>
      <c r="J1079" s="46" t="s">
        <v>4</v>
      </c>
      <c r="K1079" s="59"/>
    </row>
    <row r="1080" spans="1:76" x14ac:dyDescent="0.25">
      <c r="A1080" s="60" t="s">
        <v>4</v>
      </c>
      <c r="B1080" s="61" t="s">
        <v>87</v>
      </c>
      <c r="C1080" s="61" t="s">
        <v>1959</v>
      </c>
      <c r="D1080" s="167" t="s">
        <v>1960</v>
      </c>
      <c r="E1080" s="168"/>
      <c r="F1080" s="62" t="s">
        <v>79</v>
      </c>
      <c r="G1080" s="62" t="s">
        <v>79</v>
      </c>
      <c r="H1080" s="63" t="s">
        <v>79</v>
      </c>
      <c r="I1080" s="39">
        <f>SUM(I1081:I1141)</f>
        <v>0</v>
      </c>
      <c r="J1080" s="46" t="s">
        <v>4</v>
      </c>
      <c r="K1080" s="59"/>
      <c r="AI1080" s="46" t="s">
        <v>87</v>
      </c>
      <c r="AS1080" s="39">
        <f>SUM(AJ1081:AJ1141)</f>
        <v>0</v>
      </c>
      <c r="AT1080" s="39">
        <f>SUM(AK1081:AK1141)</f>
        <v>0</v>
      </c>
      <c r="AU1080" s="39">
        <f>SUM(AL1081:AL1141)</f>
        <v>0</v>
      </c>
    </row>
    <row r="1081" spans="1:76" x14ac:dyDescent="0.25">
      <c r="A1081" s="1" t="s">
        <v>1961</v>
      </c>
      <c r="B1081" s="2" t="s">
        <v>87</v>
      </c>
      <c r="C1081" s="2" t="s">
        <v>1962</v>
      </c>
      <c r="D1081" s="86" t="s">
        <v>1963</v>
      </c>
      <c r="E1081" s="81"/>
      <c r="F1081" s="2" t="s">
        <v>239</v>
      </c>
      <c r="G1081" s="34">
        <v>1.4</v>
      </c>
      <c r="H1081" s="64">
        <v>0</v>
      </c>
      <c r="I1081" s="34">
        <f t="shared" ref="I1081:I1112" si="22">ROUND(G1081*H1081,2)</f>
        <v>0</v>
      </c>
      <c r="J1081" s="65" t="s">
        <v>4</v>
      </c>
      <c r="K1081" s="59"/>
      <c r="Z1081" s="34">
        <f t="shared" ref="Z1081:Z1112" si="23">ROUND(IF(AQ1081="5",BJ1081,0),2)</f>
        <v>0</v>
      </c>
      <c r="AB1081" s="34">
        <f t="shared" ref="AB1081:AB1112" si="24">ROUND(IF(AQ1081="1",BH1081,0),2)</f>
        <v>0</v>
      </c>
      <c r="AC1081" s="34">
        <f t="shared" ref="AC1081:AC1112" si="25">ROUND(IF(AQ1081="1",BI1081,0),2)</f>
        <v>0</v>
      </c>
      <c r="AD1081" s="34">
        <f t="shared" ref="AD1081:AD1112" si="26">ROUND(IF(AQ1081="7",BH1081,0),2)</f>
        <v>0</v>
      </c>
      <c r="AE1081" s="34">
        <f t="shared" ref="AE1081:AE1112" si="27">ROUND(IF(AQ1081="7",BI1081,0),2)</f>
        <v>0</v>
      </c>
      <c r="AF1081" s="34">
        <f t="shared" ref="AF1081:AF1112" si="28">ROUND(IF(AQ1081="2",BH1081,0),2)</f>
        <v>0</v>
      </c>
      <c r="AG1081" s="34">
        <f t="shared" ref="AG1081:AG1112" si="29">ROUND(IF(AQ1081="2",BI1081,0),2)</f>
        <v>0</v>
      </c>
      <c r="AH1081" s="34">
        <f t="shared" ref="AH1081:AH1112" si="30">ROUND(IF(AQ1081="0",BJ1081,0),2)</f>
        <v>0</v>
      </c>
      <c r="AI1081" s="46" t="s">
        <v>87</v>
      </c>
      <c r="AJ1081" s="34">
        <f t="shared" ref="AJ1081:AJ1112" si="31">IF(AN1081=0,I1081,0)</f>
        <v>0</v>
      </c>
      <c r="AK1081" s="34">
        <f t="shared" ref="AK1081:AK1112" si="32">IF(AN1081=12,I1081,0)</f>
        <v>0</v>
      </c>
      <c r="AL1081" s="34">
        <f t="shared" ref="AL1081:AL1112" si="33">IF(AN1081=21,I1081,0)</f>
        <v>0</v>
      </c>
      <c r="AN1081" s="34">
        <v>21</v>
      </c>
      <c r="AO1081" s="34">
        <f>H1081*0</f>
        <v>0</v>
      </c>
      <c r="AP1081" s="34">
        <f>H1081*(1-0)</f>
        <v>0</v>
      </c>
      <c r="AQ1081" s="65" t="s">
        <v>175</v>
      </c>
      <c r="AV1081" s="34">
        <f t="shared" ref="AV1081:AV1112" si="34">ROUND(AW1081+AX1081,2)</f>
        <v>0</v>
      </c>
      <c r="AW1081" s="34">
        <f t="shared" ref="AW1081:AW1112" si="35">ROUND(G1081*AO1081,2)</f>
        <v>0</v>
      </c>
      <c r="AX1081" s="34">
        <f t="shared" ref="AX1081:AX1112" si="36">ROUND(G1081*AP1081,2)</f>
        <v>0</v>
      </c>
      <c r="AY1081" s="65" t="s">
        <v>1964</v>
      </c>
      <c r="AZ1081" s="65" t="s">
        <v>1965</v>
      </c>
      <c r="BA1081" s="46" t="s">
        <v>1966</v>
      </c>
      <c r="BC1081" s="34">
        <f t="shared" ref="BC1081:BC1112" si="37">AW1081+AX1081</f>
        <v>0</v>
      </c>
      <c r="BD1081" s="34">
        <f t="shared" ref="BD1081:BD1112" si="38">H1081/(100-BE1081)*100</f>
        <v>0</v>
      </c>
      <c r="BE1081" s="34">
        <v>0</v>
      </c>
      <c r="BF1081" s="34">
        <f>1081</f>
        <v>1081</v>
      </c>
      <c r="BH1081" s="34">
        <f t="shared" ref="BH1081:BH1112" si="39">G1081*AO1081</f>
        <v>0</v>
      </c>
      <c r="BI1081" s="34">
        <f t="shared" ref="BI1081:BI1112" si="40">G1081*AP1081</f>
        <v>0</v>
      </c>
      <c r="BJ1081" s="34">
        <f t="shared" ref="BJ1081:BJ1112" si="41">G1081*H1081</f>
        <v>0</v>
      </c>
      <c r="BK1081" s="34"/>
      <c r="BL1081" s="34">
        <v>728</v>
      </c>
      <c r="BW1081" s="34">
        <v>21</v>
      </c>
      <c r="BX1081" s="3" t="s">
        <v>1963</v>
      </c>
    </row>
    <row r="1082" spans="1:76" x14ac:dyDescent="0.25">
      <c r="A1082" s="1" t="s">
        <v>1967</v>
      </c>
      <c r="B1082" s="2" t="s">
        <v>87</v>
      </c>
      <c r="C1082" s="2" t="s">
        <v>1968</v>
      </c>
      <c r="D1082" s="86" t="s">
        <v>1969</v>
      </c>
      <c r="E1082" s="81"/>
      <c r="F1082" s="2" t="s">
        <v>132</v>
      </c>
      <c r="G1082" s="34">
        <v>1.75</v>
      </c>
      <c r="H1082" s="64">
        <v>0</v>
      </c>
      <c r="I1082" s="34">
        <f t="shared" si="22"/>
        <v>0</v>
      </c>
      <c r="J1082" s="65" t="s">
        <v>4</v>
      </c>
      <c r="K1082" s="59"/>
      <c r="Z1082" s="34">
        <f t="shared" si="23"/>
        <v>0</v>
      </c>
      <c r="AB1082" s="34">
        <f t="shared" si="24"/>
        <v>0</v>
      </c>
      <c r="AC1082" s="34">
        <f t="shared" si="25"/>
        <v>0</v>
      </c>
      <c r="AD1082" s="34">
        <f t="shared" si="26"/>
        <v>0</v>
      </c>
      <c r="AE1082" s="34">
        <f t="shared" si="27"/>
        <v>0</v>
      </c>
      <c r="AF1082" s="34">
        <f t="shared" si="28"/>
        <v>0</v>
      </c>
      <c r="AG1082" s="34">
        <f t="shared" si="29"/>
        <v>0</v>
      </c>
      <c r="AH1082" s="34">
        <f t="shared" si="30"/>
        <v>0</v>
      </c>
      <c r="AI1082" s="46" t="s">
        <v>87</v>
      </c>
      <c r="AJ1082" s="34">
        <f t="shared" si="31"/>
        <v>0</v>
      </c>
      <c r="AK1082" s="34">
        <f t="shared" si="32"/>
        <v>0</v>
      </c>
      <c r="AL1082" s="34">
        <f t="shared" si="33"/>
        <v>0</v>
      </c>
      <c r="AN1082" s="34">
        <v>21</v>
      </c>
      <c r="AO1082" s="34">
        <f>H1082*1</f>
        <v>0</v>
      </c>
      <c r="AP1082" s="34">
        <f>H1082*(1-1)</f>
        <v>0</v>
      </c>
      <c r="AQ1082" s="65" t="s">
        <v>175</v>
      </c>
      <c r="AV1082" s="34">
        <f t="shared" si="34"/>
        <v>0</v>
      </c>
      <c r="AW1082" s="34">
        <f t="shared" si="35"/>
        <v>0</v>
      </c>
      <c r="AX1082" s="34">
        <f t="shared" si="36"/>
        <v>0</v>
      </c>
      <c r="AY1082" s="65" t="s">
        <v>1964</v>
      </c>
      <c r="AZ1082" s="65" t="s">
        <v>1965</v>
      </c>
      <c r="BA1082" s="46" t="s">
        <v>1966</v>
      </c>
      <c r="BC1082" s="34">
        <f t="shared" si="37"/>
        <v>0</v>
      </c>
      <c r="BD1082" s="34">
        <f t="shared" si="38"/>
        <v>0</v>
      </c>
      <c r="BE1082" s="34">
        <v>0</v>
      </c>
      <c r="BF1082" s="34">
        <f>1082</f>
        <v>1082</v>
      </c>
      <c r="BH1082" s="34">
        <f t="shared" si="39"/>
        <v>0</v>
      </c>
      <c r="BI1082" s="34">
        <f t="shared" si="40"/>
        <v>0</v>
      </c>
      <c r="BJ1082" s="34">
        <f t="shared" si="41"/>
        <v>0</v>
      </c>
      <c r="BK1082" s="34"/>
      <c r="BL1082" s="34">
        <v>728</v>
      </c>
      <c r="BW1082" s="34">
        <v>21</v>
      </c>
      <c r="BX1082" s="3" t="s">
        <v>1969</v>
      </c>
    </row>
    <row r="1083" spans="1:76" x14ac:dyDescent="0.25">
      <c r="A1083" s="1" t="s">
        <v>1970</v>
      </c>
      <c r="B1083" s="2" t="s">
        <v>87</v>
      </c>
      <c r="C1083" s="2" t="s">
        <v>1968</v>
      </c>
      <c r="D1083" s="86" t="s">
        <v>1971</v>
      </c>
      <c r="E1083" s="81"/>
      <c r="F1083" s="2" t="s">
        <v>132</v>
      </c>
      <c r="G1083" s="34">
        <v>0.14249999999999999</v>
      </c>
      <c r="H1083" s="64">
        <v>0</v>
      </c>
      <c r="I1083" s="34">
        <f t="shared" si="22"/>
        <v>0</v>
      </c>
      <c r="J1083" s="65" t="s">
        <v>4</v>
      </c>
      <c r="K1083" s="59"/>
      <c r="Z1083" s="34">
        <f t="shared" si="23"/>
        <v>0</v>
      </c>
      <c r="AB1083" s="34">
        <f t="shared" si="24"/>
        <v>0</v>
      </c>
      <c r="AC1083" s="34">
        <f t="shared" si="25"/>
        <v>0</v>
      </c>
      <c r="AD1083" s="34">
        <f t="shared" si="26"/>
        <v>0</v>
      </c>
      <c r="AE1083" s="34">
        <f t="shared" si="27"/>
        <v>0</v>
      </c>
      <c r="AF1083" s="34">
        <f t="shared" si="28"/>
        <v>0</v>
      </c>
      <c r="AG1083" s="34">
        <f t="shared" si="29"/>
        <v>0</v>
      </c>
      <c r="AH1083" s="34">
        <f t="shared" si="30"/>
        <v>0</v>
      </c>
      <c r="AI1083" s="46" t="s">
        <v>87</v>
      </c>
      <c r="AJ1083" s="34">
        <f t="shared" si="31"/>
        <v>0</v>
      </c>
      <c r="AK1083" s="34">
        <f t="shared" si="32"/>
        <v>0</v>
      </c>
      <c r="AL1083" s="34">
        <f t="shared" si="33"/>
        <v>0</v>
      </c>
      <c r="AN1083" s="34">
        <v>21</v>
      </c>
      <c r="AO1083" s="34">
        <f>H1083*1</f>
        <v>0</v>
      </c>
      <c r="AP1083" s="34">
        <f>H1083*(1-1)</f>
        <v>0</v>
      </c>
      <c r="AQ1083" s="65" t="s">
        <v>175</v>
      </c>
      <c r="AV1083" s="34">
        <f t="shared" si="34"/>
        <v>0</v>
      </c>
      <c r="AW1083" s="34">
        <f t="shared" si="35"/>
        <v>0</v>
      </c>
      <c r="AX1083" s="34">
        <f t="shared" si="36"/>
        <v>0</v>
      </c>
      <c r="AY1083" s="65" t="s">
        <v>1964</v>
      </c>
      <c r="AZ1083" s="65" t="s">
        <v>1965</v>
      </c>
      <c r="BA1083" s="46" t="s">
        <v>1966</v>
      </c>
      <c r="BC1083" s="34">
        <f t="shared" si="37"/>
        <v>0</v>
      </c>
      <c r="BD1083" s="34">
        <f t="shared" si="38"/>
        <v>0</v>
      </c>
      <c r="BE1083" s="34">
        <v>0</v>
      </c>
      <c r="BF1083" s="34">
        <f>1083</f>
        <v>1083</v>
      </c>
      <c r="BH1083" s="34">
        <f t="shared" si="39"/>
        <v>0</v>
      </c>
      <c r="BI1083" s="34">
        <f t="shared" si="40"/>
        <v>0</v>
      </c>
      <c r="BJ1083" s="34">
        <f t="shared" si="41"/>
        <v>0</v>
      </c>
      <c r="BK1083" s="34"/>
      <c r="BL1083" s="34">
        <v>728</v>
      </c>
      <c r="BW1083" s="34">
        <v>21</v>
      </c>
      <c r="BX1083" s="3" t="s">
        <v>1971</v>
      </c>
    </row>
    <row r="1084" spans="1:76" ht="25.5" x14ac:dyDescent="0.25">
      <c r="A1084" s="1" t="s">
        <v>1972</v>
      </c>
      <c r="B1084" s="2" t="s">
        <v>87</v>
      </c>
      <c r="C1084" s="2" t="s">
        <v>1973</v>
      </c>
      <c r="D1084" s="86" t="s">
        <v>1974</v>
      </c>
      <c r="E1084" s="81"/>
      <c r="F1084" s="2" t="s">
        <v>239</v>
      </c>
      <c r="G1084" s="34">
        <v>7</v>
      </c>
      <c r="H1084" s="64">
        <v>0</v>
      </c>
      <c r="I1084" s="34">
        <f t="shared" si="22"/>
        <v>0</v>
      </c>
      <c r="J1084" s="65" t="s">
        <v>4</v>
      </c>
      <c r="K1084" s="59"/>
      <c r="Z1084" s="34">
        <f t="shared" si="23"/>
        <v>0</v>
      </c>
      <c r="AB1084" s="34">
        <f t="shared" si="24"/>
        <v>0</v>
      </c>
      <c r="AC1084" s="34">
        <f t="shared" si="25"/>
        <v>0</v>
      </c>
      <c r="AD1084" s="34">
        <f t="shared" si="26"/>
        <v>0</v>
      </c>
      <c r="AE1084" s="34">
        <f t="shared" si="27"/>
        <v>0</v>
      </c>
      <c r="AF1084" s="34">
        <f t="shared" si="28"/>
        <v>0</v>
      </c>
      <c r="AG1084" s="34">
        <f t="shared" si="29"/>
        <v>0</v>
      </c>
      <c r="AH1084" s="34">
        <f t="shared" si="30"/>
        <v>0</v>
      </c>
      <c r="AI1084" s="46" t="s">
        <v>87</v>
      </c>
      <c r="AJ1084" s="34">
        <f t="shared" si="31"/>
        <v>0</v>
      </c>
      <c r="AK1084" s="34">
        <f t="shared" si="32"/>
        <v>0</v>
      </c>
      <c r="AL1084" s="34">
        <f t="shared" si="33"/>
        <v>0</v>
      </c>
      <c r="AN1084" s="34">
        <v>21</v>
      </c>
      <c r="AO1084" s="34">
        <f t="shared" ref="AO1084:AO1097" si="42">H1084*0</f>
        <v>0</v>
      </c>
      <c r="AP1084" s="34">
        <f t="shared" ref="AP1084:AP1097" si="43">H1084*(1-0)</f>
        <v>0</v>
      </c>
      <c r="AQ1084" s="65" t="s">
        <v>175</v>
      </c>
      <c r="AV1084" s="34">
        <f t="shared" si="34"/>
        <v>0</v>
      </c>
      <c r="AW1084" s="34">
        <f t="shared" si="35"/>
        <v>0</v>
      </c>
      <c r="AX1084" s="34">
        <f t="shared" si="36"/>
        <v>0</v>
      </c>
      <c r="AY1084" s="65" t="s">
        <v>1964</v>
      </c>
      <c r="AZ1084" s="65" t="s">
        <v>1965</v>
      </c>
      <c r="BA1084" s="46" t="s">
        <v>1966</v>
      </c>
      <c r="BC1084" s="34">
        <f t="shared" si="37"/>
        <v>0</v>
      </c>
      <c r="BD1084" s="34">
        <f t="shared" si="38"/>
        <v>0</v>
      </c>
      <c r="BE1084" s="34">
        <v>0</v>
      </c>
      <c r="BF1084" s="34">
        <f>1084</f>
        <v>1084</v>
      </c>
      <c r="BH1084" s="34">
        <f t="shared" si="39"/>
        <v>0</v>
      </c>
      <c r="BI1084" s="34">
        <f t="shared" si="40"/>
        <v>0</v>
      </c>
      <c r="BJ1084" s="34">
        <f t="shared" si="41"/>
        <v>0</v>
      </c>
      <c r="BK1084" s="34"/>
      <c r="BL1084" s="34">
        <v>728</v>
      </c>
      <c r="BW1084" s="34">
        <v>21</v>
      </c>
      <c r="BX1084" s="3" t="s">
        <v>1974</v>
      </c>
    </row>
    <row r="1085" spans="1:76" ht="25.5" x14ac:dyDescent="0.25">
      <c r="A1085" s="1" t="s">
        <v>1975</v>
      </c>
      <c r="B1085" s="2" t="s">
        <v>87</v>
      </c>
      <c r="C1085" s="2" t="s">
        <v>1976</v>
      </c>
      <c r="D1085" s="86" t="s">
        <v>1977</v>
      </c>
      <c r="E1085" s="81"/>
      <c r="F1085" s="2" t="s">
        <v>239</v>
      </c>
      <c r="G1085" s="34">
        <v>4</v>
      </c>
      <c r="H1085" s="64">
        <v>0</v>
      </c>
      <c r="I1085" s="34">
        <f t="shared" si="22"/>
        <v>0</v>
      </c>
      <c r="J1085" s="65" t="s">
        <v>4</v>
      </c>
      <c r="K1085" s="59"/>
      <c r="Z1085" s="34">
        <f t="shared" si="23"/>
        <v>0</v>
      </c>
      <c r="AB1085" s="34">
        <f t="shared" si="24"/>
        <v>0</v>
      </c>
      <c r="AC1085" s="34">
        <f t="shared" si="25"/>
        <v>0</v>
      </c>
      <c r="AD1085" s="34">
        <f t="shared" si="26"/>
        <v>0</v>
      </c>
      <c r="AE1085" s="34">
        <f t="shared" si="27"/>
        <v>0</v>
      </c>
      <c r="AF1085" s="34">
        <f t="shared" si="28"/>
        <v>0</v>
      </c>
      <c r="AG1085" s="34">
        <f t="shared" si="29"/>
        <v>0</v>
      </c>
      <c r="AH1085" s="34">
        <f t="shared" si="30"/>
        <v>0</v>
      </c>
      <c r="AI1085" s="46" t="s">
        <v>87</v>
      </c>
      <c r="AJ1085" s="34">
        <f t="shared" si="31"/>
        <v>0</v>
      </c>
      <c r="AK1085" s="34">
        <f t="shared" si="32"/>
        <v>0</v>
      </c>
      <c r="AL1085" s="34">
        <f t="shared" si="33"/>
        <v>0</v>
      </c>
      <c r="AN1085" s="34">
        <v>21</v>
      </c>
      <c r="AO1085" s="34">
        <f t="shared" si="42"/>
        <v>0</v>
      </c>
      <c r="AP1085" s="34">
        <f t="shared" si="43"/>
        <v>0</v>
      </c>
      <c r="AQ1085" s="65" t="s">
        <v>175</v>
      </c>
      <c r="AV1085" s="34">
        <f t="shared" si="34"/>
        <v>0</v>
      </c>
      <c r="AW1085" s="34">
        <f t="shared" si="35"/>
        <v>0</v>
      </c>
      <c r="AX1085" s="34">
        <f t="shared" si="36"/>
        <v>0</v>
      </c>
      <c r="AY1085" s="65" t="s">
        <v>1964</v>
      </c>
      <c r="AZ1085" s="65" t="s">
        <v>1965</v>
      </c>
      <c r="BA1085" s="46" t="s">
        <v>1966</v>
      </c>
      <c r="BC1085" s="34">
        <f t="shared" si="37"/>
        <v>0</v>
      </c>
      <c r="BD1085" s="34">
        <f t="shared" si="38"/>
        <v>0</v>
      </c>
      <c r="BE1085" s="34">
        <v>0</v>
      </c>
      <c r="BF1085" s="34">
        <f>1085</f>
        <v>1085</v>
      </c>
      <c r="BH1085" s="34">
        <f t="shared" si="39"/>
        <v>0</v>
      </c>
      <c r="BI1085" s="34">
        <f t="shared" si="40"/>
        <v>0</v>
      </c>
      <c r="BJ1085" s="34">
        <f t="shared" si="41"/>
        <v>0</v>
      </c>
      <c r="BK1085" s="34"/>
      <c r="BL1085" s="34">
        <v>728</v>
      </c>
      <c r="BW1085" s="34">
        <v>21</v>
      </c>
      <c r="BX1085" s="3" t="s">
        <v>1977</v>
      </c>
    </row>
    <row r="1086" spans="1:76" ht="25.5" x14ac:dyDescent="0.25">
      <c r="A1086" s="1" t="s">
        <v>1978</v>
      </c>
      <c r="B1086" s="2" t="s">
        <v>87</v>
      </c>
      <c r="C1086" s="2" t="s">
        <v>1976</v>
      </c>
      <c r="D1086" s="86" t="s">
        <v>1979</v>
      </c>
      <c r="E1086" s="81"/>
      <c r="F1086" s="2" t="s">
        <v>239</v>
      </c>
      <c r="G1086" s="34">
        <v>11</v>
      </c>
      <c r="H1086" s="64">
        <v>0</v>
      </c>
      <c r="I1086" s="34">
        <f t="shared" si="22"/>
        <v>0</v>
      </c>
      <c r="J1086" s="65" t="s">
        <v>4</v>
      </c>
      <c r="K1086" s="59"/>
      <c r="Z1086" s="34">
        <f t="shared" si="23"/>
        <v>0</v>
      </c>
      <c r="AB1086" s="34">
        <f t="shared" si="24"/>
        <v>0</v>
      </c>
      <c r="AC1086" s="34">
        <f t="shared" si="25"/>
        <v>0</v>
      </c>
      <c r="AD1086" s="34">
        <f t="shared" si="26"/>
        <v>0</v>
      </c>
      <c r="AE1086" s="34">
        <f t="shared" si="27"/>
        <v>0</v>
      </c>
      <c r="AF1086" s="34">
        <f t="shared" si="28"/>
        <v>0</v>
      </c>
      <c r="AG1086" s="34">
        <f t="shared" si="29"/>
        <v>0</v>
      </c>
      <c r="AH1086" s="34">
        <f t="shared" si="30"/>
        <v>0</v>
      </c>
      <c r="AI1086" s="46" t="s">
        <v>87</v>
      </c>
      <c r="AJ1086" s="34">
        <f t="shared" si="31"/>
        <v>0</v>
      </c>
      <c r="AK1086" s="34">
        <f t="shared" si="32"/>
        <v>0</v>
      </c>
      <c r="AL1086" s="34">
        <f t="shared" si="33"/>
        <v>0</v>
      </c>
      <c r="AN1086" s="34">
        <v>21</v>
      </c>
      <c r="AO1086" s="34">
        <f t="shared" si="42"/>
        <v>0</v>
      </c>
      <c r="AP1086" s="34">
        <f t="shared" si="43"/>
        <v>0</v>
      </c>
      <c r="AQ1086" s="65" t="s">
        <v>175</v>
      </c>
      <c r="AV1086" s="34">
        <f t="shared" si="34"/>
        <v>0</v>
      </c>
      <c r="AW1086" s="34">
        <f t="shared" si="35"/>
        <v>0</v>
      </c>
      <c r="AX1086" s="34">
        <f t="shared" si="36"/>
        <v>0</v>
      </c>
      <c r="AY1086" s="65" t="s">
        <v>1964</v>
      </c>
      <c r="AZ1086" s="65" t="s">
        <v>1965</v>
      </c>
      <c r="BA1086" s="46" t="s">
        <v>1966</v>
      </c>
      <c r="BC1086" s="34">
        <f t="shared" si="37"/>
        <v>0</v>
      </c>
      <c r="BD1086" s="34">
        <f t="shared" si="38"/>
        <v>0</v>
      </c>
      <c r="BE1086" s="34">
        <v>0</v>
      </c>
      <c r="BF1086" s="34">
        <f>1086</f>
        <v>1086</v>
      </c>
      <c r="BH1086" s="34">
        <f t="shared" si="39"/>
        <v>0</v>
      </c>
      <c r="BI1086" s="34">
        <f t="shared" si="40"/>
        <v>0</v>
      </c>
      <c r="BJ1086" s="34">
        <f t="shared" si="41"/>
        <v>0</v>
      </c>
      <c r="BK1086" s="34"/>
      <c r="BL1086" s="34">
        <v>728</v>
      </c>
      <c r="BW1086" s="34">
        <v>21</v>
      </c>
      <c r="BX1086" s="3" t="s">
        <v>1979</v>
      </c>
    </row>
    <row r="1087" spans="1:76" ht="25.5" x14ac:dyDescent="0.25">
      <c r="A1087" s="1" t="s">
        <v>1980</v>
      </c>
      <c r="B1087" s="2" t="s">
        <v>87</v>
      </c>
      <c r="C1087" s="2" t="s">
        <v>1976</v>
      </c>
      <c r="D1087" s="86" t="s">
        <v>1981</v>
      </c>
      <c r="E1087" s="81"/>
      <c r="F1087" s="2" t="s">
        <v>239</v>
      </c>
      <c r="G1087" s="34">
        <v>29</v>
      </c>
      <c r="H1087" s="64">
        <v>0</v>
      </c>
      <c r="I1087" s="34">
        <f t="shared" si="22"/>
        <v>0</v>
      </c>
      <c r="J1087" s="65" t="s">
        <v>4</v>
      </c>
      <c r="K1087" s="59"/>
      <c r="Z1087" s="34">
        <f t="shared" si="23"/>
        <v>0</v>
      </c>
      <c r="AB1087" s="34">
        <f t="shared" si="24"/>
        <v>0</v>
      </c>
      <c r="AC1087" s="34">
        <f t="shared" si="25"/>
        <v>0</v>
      </c>
      <c r="AD1087" s="34">
        <f t="shared" si="26"/>
        <v>0</v>
      </c>
      <c r="AE1087" s="34">
        <f t="shared" si="27"/>
        <v>0</v>
      </c>
      <c r="AF1087" s="34">
        <f t="shared" si="28"/>
        <v>0</v>
      </c>
      <c r="AG1087" s="34">
        <f t="shared" si="29"/>
        <v>0</v>
      </c>
      <c r="AH1087" s="34">
        <f t="shared" si="30"/>
        <v>0</v>
      </c>
      <c r="AI1087" s="46" t="s">
        <v>87</v>
      </c>
      <c r="AJ1087" s="34">
        <f t="shared" si="31"/>
        <v>0</v>
      </c>
      <c r="AK1087" s="34">
        <f t="shared" si="32"/>
        <v>0</v>
      </c>
      <c r="AL1087" s="34">
        <f t="shared" si="33"/>
        <v>0</v>
      </c>
      <c r="AN1087" s="34">
        <v>21</v>
      </c>
      <c r="AO1087" s="34">
        <f t="shared" si="42"/>
        <v>0</v>
      </c>
      <c r="AP1087" s="34">
        <f t="shared" si="43"/>
        <v>0</v>
      </c>
      <c r="AQ1087" s="65" t="s">
        <v>175</v>
      </c>
      <c r="AV1087" s="34">
        <f t="shared" si="34"/>
        <v>0</v>
      </c>
      <c r="AW1087" s="34">
        <f t="shared" si="35"/>
        <v>0</v>
      </c>
      <c r="AX1087" s="34">
        <f t="shared" si="36"/>
        <v>0</v>
      </c>
      <c r="AY1087" s="65" t="s">
        <v>1964</v>
      </c>
      <c r="AZ1087" s="65" t="s">
        <v>1965</v>
      </c>
      <c r="BA1087" s="46" t="s">
        <v>1966</v>
      </c>
      <c r="BC1087" s="34">
        <f t="shared" si="37"/>
        <v>0</v>
      </c>
      <c r="BD1087" s="34">
        <f t="shared" si="38"/>
        <v>0</v>
      </c>
      <c r="BE1087" s="34">
        <v>0</v>
      </c>
      <c r="BF1087" s="34">
        <f>1087</f>
        <v>1087</v>
      </c>
      <c r="BH1087" s="34">
        <f t="shared" si="39"/>
        <v>0</v>
      </c>
      <c r="BI1087" s="34">
        <f t="shared" si="40"/>
        <v>0</v>
      </c>
      <c r="BJ1087" s="34">
        <f t="shared" si="41"/>
        <v>0</v>
      </c>
      <c r="BK1087" s="34"/>
      <c r="BL1087" s="34">
        <v>728</v>
      </c>
      <c r="BW1087" s="34">
        <v>21</v>
      </c>
      <c r="BX1087" s="3" t="s">
        <v>1981</v>
      </c>
    </row>
    <row r="1088" spans="1:76" ht="25.5" x14ac:dyDescent="0.25">
      <c r="A1088" s="1" t="s">
        <v>1982</v>
      </c>
      <c r="B1088" s="2" t="s">
        <v>87</v>
      </c>
      <c r="C1088" s="2" t="s">
        <v>1983</v>
      </c>
      <c r="D1088" s="86" t="s">
        <v>1984</v>
      </c>
      <c r="E1088" s="81"/>
      <c r="F1088" s="2" t="s">
        <v>239</v>
      </c>
      <c r="G1088" s="34">
        <v>12</v>
      </c>
      <c r="H1088" s="64">
        <v>0</v>
      </c>
      <c r="I1088" s="34">
        <f t="shared" si="22"/>
        <v>0</v>
      </c>
      <c r="J1088" s="65" t="s">
        <v>4</v>
      </c>
      <c r="K1088" s="59"/>
      <c r="Z1088" s="34">
        <f t="shared" si="23"/>
        <v>0</v>
      </c>
      <c r="AB1088" s="34">
        <f t="shared" si="24"/>
        <v>0</v>
      </c>
      <c r="AC1088" s="34">
        <f t="shared" si="25"/>
        <v>0</v>
      </c>
      <c r="AD1088" s="34">
        <f t="shared" si="26"/>
        <v>0</v>
      </c>
      <c r="AE1088" s="34">
        <f t="shared" si="27"/>
        <v>0</v>
      </c>
      <c r="AF1088" s="34">
        <f t="shared" si="28"/>
        <v>0</v>
      </c>
      <c r="AG1088" s="34">
        <f t="shared" si="29"/>
        <v>0</v>
      </c>
      <c r="AH1088" s="34">
        <f t="shared" si="30"/>
        <v>0</v>
      </c>
      <c r="AI1088" s="46" t="s">
        <v>87</v>
      </c>
      <c r="AJ1088" s="34">
        <f t="shared" si="31"/>
        <v>0</v>
      </c>
      <c r="AK1088" s="34">
        <f t="shared" si="32"/>
        <v>0</v>
      </c>
      <c r="AL1088" s="34">
        <f t="shared" si="33"/>
        <v>0</v>
      </c>
      <c r="AN1088" s="34">
        <v>21</v>
      </c>
      <c r="AO1088" s="34">
        <f t="shared" si="42"/>
        <v>0</v>
      </c>
      <c r="AP1088" s="34">
        <f t="shared" si="43"/>
        <v>0</v>
      </c>
      <c r="AQ1088" s="65" t="s">
        <v>175</v>
      </c>
      <c r="AV1088" s="34">
        <f t="shared" si="34"/>
        <v>0</v>
      </c>
      <c r="AW1088" s="34">
        <f t="shared" si="35"/>
        <v>0</v>
      </c>
      <c r="AX1088" s="34">
        <f t="shared" si="36"/>
        <v>0</v>
      </c>
      <c r="AY1088" s="65" t="s">
        <v>1964</v>
      </c>
      <c r="AZ1088" s="65" t="s">
        <v>1965</v>
      </c>
      <c r="BA1088" s="46" t="s">
        <v>1966</v>
      </c>
      <c r="BC1088" s="34">
        <f t="shared" si="37"/>
        <v>0</v>
      </c>
      <c r="BD1088" s="34">
        <f t="shared" si="38"/>
        <v>0</v>
      </c>
      <c r="BE1088" s="34">
        <v>0</v>
      </c>
      <c r="BF1088" s="34">
        <f>1088</f>
        <v>1088</v>
      </c>
      <c r="BH1088" s="34">
        <f t="shared" si="39"/>
        <v>0</v>
      </c>
      <c r="BI1088" s="34">
        <f t="shared" si="40"/>
        <v>0</v>
      </c>
      <c r="BJ1088" s="34">
        <f t="shared" si="41"/>
        <v>0</v>
      </c>
      <c r="BK1088" s="34"/>
      <c r="BL1088" s="34">
        <v>728</v>
      </c>
      <c r="BW1088" s="34">
        <v>21</v>
      </c>
      <c r="BX1088" s="3" t="s">
        <v>1984</v>
      </c>
    </row>
    <row r="1089" spans="1:76" ht="25.5" x14ac:dyDescent="0.25">
      <c r="A1089" s="1" t="s">
        <v>1985</v>
      </c>
      <c r="B1089" s="2" t="s">
        <v>87</v>
      </c>
      <c r="C1089" s="2" t="s">
        <v>1983</v>
      </c>
      <c r="D1089" s="86" t="s">
        <v>1986</v>
      </c>
      <c r="E1089" s="81"/>
      <c r="F1089" s="2" t="s">
        <v>239</v>
      </c>
      <c r="G1089" s="34">
        <v>4</v>
      </c>
      <c r="H1089" s="64">
        <v>0</v>
      </c>
      <c r="I1089" s="34">
        <f t="shared" si="22"/>
        <v>0</v>
      </c>
      <c r="J1089" s="65" t="s">
        <v>4</v>
      </c>
      <c r="K1089" s="59"/>
      <c r="Z1089" s="34">
        <f t="shared" si="23"/>
        <v>0</v>
      </c>
      <c r="AB1089" s="34">
        <f t="shared" si="24"/>
        <v>0</v>
      </c>
      <c r="AC1089" s="34">
        <f t="shared" si="25"/>
        <v>0</v>
      </c>
      <c r="AD1089" s="34">
        <f t="shared" si="26"/>
        <v>0</v>
      </c>
      <c r="AE1089" s="34">
        <f t="shared" si="27"/>
        <v>0</v>
      </c>
      <c r="AF1089" s="34">
        <f t="shared" si="28"/>
        <v>0</v>
      </c>
      <c r="AG1089" s="34">
        <f t="shared" si="29"/>
        <v>0</v>
      </c>
      <c r="AH1089" s="34">
        <f t="shared" si="30"/>
        <v>0</v>
      </c>
      <c r="AI1089" s="46" t="s">
        <v>87</v>
      </c>
      <c r="AJ1089" s="34">
        <f t="shared" si="31"/>
        <v>0</v>
      </c>
      <c r="AK1089" s="34">
        <f t="shared" si="32"/>
        <v>0</v>
      </c>
      <c r="AL1089" s="34">
        <f t="shared" si="33"/>
        <v>0</v>
      </c>
      <c r="AN1089" s="34">
        <v>21</v>
      </c>
      <c r="AO1089" s="34">
        <f t="shared" si="42"/>
        <v>0</v>
      </c>
      <c r="AP1089" s="34">
        <f t="shared" si="43"/>
        <v>0</v>
      </c>
      <c r="AQ1089" s="65" t="s">
        <v>175</v>
      </c>
      <c r="AV1089" s="34">
        <f t="shared" si="34"/>
        <v>0</v>
      </c>
      <c r="AW1089" s="34">
        <f t="shared" si="35"/>
        <v>0</v>
      </c>
      <c r="AX1089" s="34">
        <f t="shared" si="36"/>
        <v>0</v>
      </c>
      <c r="AY1089" s="65" t="s">
        <v>1964</v>
      </c>
      <c r="AZ1089" s="65" t="s">
        <v>1965</v>
      </c>
      <c r="BA1089" s="46" t="s">
        <v>1966</v>
      </c>
      <c r="BC1089" s="34">
        <f t="shared" si="37"/>
        <v>0</v>
      </c>
      <c r="BD1089" s="34">
        <f t="shared" si="38"/>
        <v>0</v>
      </c>
      <c r="BE1089" s="34">
        <v>0</v>
      </c>
      <c r="BF1089" s="34">
        <f>1089</f>
        <v>1089</v>
      </c>
      <c r="BH1089" s="34">
        <f t="shared" si="39"/>
        <v>0</v>
      </c>
      <c r="BI1089" s="34">
        <f t="shared" si="40"/>
        <v>0</v>
      </c>
      <c r="BJ1089" s="34">
        <f t="shared" si="41"/>
        <v>0</v>
      </c>
      <c r="BK1089" s="34"/>
      <c r="BL1089" s="34">
        <v>728</v>
      </c>
      <c r="BW1089" s="34">
        <v>21</v>
      </c>
      <c r="BX1089" s="3" t="s">
        <v>1986</v>
      </c>
    </row>
    <row r="1090" spans="1:76" x14ac:dyDescent="0.25">
      <c r="A1090" s="1" t="s">
        <v>1987</v>
      </c>
      <c r="B1090" s="2" t="s">
        <v>87</v>
      </c>
      <c r="C1090" s="2" t="s">
        <v>1988</v>
      </c>
      <c r="D1090" s="86" t="s">
        <v>1989</v>
      </c>
      <c r="E1090" s="81"/>
      <c r="F1090" s="2" t="s">
        <v>239</v>
      </c>
      <c r="G1090" s="34">
        <v>11</v>
      </c>
      <c r="H1090" s="64">
        <v>0</v>
      </c>
      <c r="I1090" s="34">
        <f t="shared" si="22"/>
        <v>0</v>
      </c>
      <c r="J1090" s="65" t="s">
        <v>4</v>
      </c>
      <c r="K1090" s="59"/>
      <c r="Z1090" s="34">
        <f t="shared" si="23"/>
        <v>0</v>
      </c>
      <c r="AB1090" s="34">
        <f t="shared" si="24"/>
        <v>0</v>
      </c>
      <c r="AC1090" s="34">
        <f t="shared" si="25"/>
        <v>0</v>
      </c>
      <c r="AD1090" s="34">
        <f t="shared" si="26"/>
        <v>0</v>
      </c>
      <c r="AE1090" s="34">
        <f t="shared" si="27"/>
        <v>0</v>
      </c>
      <c r="AF1090" s="34">
        <f t="shared" si="28"/>
        <v>0</v>
      </c>
      <c r="AG1090" s="34">
        <f t="shared" si="29"/>
        <v>0</v>
      </c>
      <c r="AH1090" s="34">
        <f t="shared" si="30"/>
        <v>0</v>
      </c>
      <c r="AI1090" s="46" t="s">
        <v>87</v>
      </c>
      <c r="AJ1090" s="34">
        <f t="shared" si="31"/>
        <v>0</v>
      </c>
      <c r="AK1090" s="34">
        <f t="shared" si="32"/>
        <v>0</v>
      </c>
      <c r="AL1090" s="34">
        <f t="shared" si="33"/>
        <v>0</v>
      </c>
      <c r="AN1090" s="34">
        <v>21</v>
      </c>
      <c r="AO1090" s="34">
        <f t="shared" si="42"/>
        <v>0</v>
      </c>
      <c r="AP1090" s="34">
        <f t="shared" si="43"/>
        <v>0</v>
      </c>
      <c r="AQ1090" s="65" t="s">
        <v>175</v>
      </c>
      <c r="AV1090" s="34">
        <f t="shared" si="34"/>
        <v>0</v>
      </c>
      <c r="AW1090" s="34">
        <f t="shared" si="35"/>
        <v>0</v>
      </c>
      <c r="AX1090" s="34">
        <f t="shared" si="36"/>
        <v>0</v>
      </c>
      <c r="AY1090" s="65" t="s">
        <v>1964</v>
      </c>
      <c r="AZ1090" s="65" t="s">
        <v>1965</v>
      </c>
      <c r="BA1090" s="46" t="s">
        <v>1966</v>
      </c>
      <c r="BC1090" s="34">
        <f t="shared" si="37"/>
        <v>0</v>
      </c>
      <c r="BD1090" s="34">
        <f t="shared" si="38"/>
        <v>0</v>
      </c>
      <c r="BE1090" s="34">
        <v>0</v>
      </c>
      <c r="BF1090" s="34">
        <f>1090</f>
        <v>1090</v>
      </c>
      <c r="BH1090" s="34">
        <f t="shared" si="39"/>
        <v>0</v>
      </c>
      <c r="BI1090" s="34">
        <f t="shared" si="40"/>
        <v>0</v>
      </c>
      <c r="BJ1090" s="34">
        <f t="shared" si="41"/>
        <v>0</v>
      </c>
      <c r="BK1090" s="34"/>
      <c r="BL1090" s="34">
        <v>728</v>
      </c>
      <c r="BW1090" s="34">
        <v>21</v>
      </c>
      <c r="BX1090" s="3" t="s">
        <v>1989</v>
      </c>
    </row>
    <row r="1091" spans="1:76" x14ac:dyDescent="0.25">
      <c r="A1091" s="1" t="s">
        <v>1990</v>
      </c>
      <c r="B1091" s="2" t="s">
        <v>87</v>
      </c>
      <c r="C1091" s="2" t="s">
        <v>1991</v>
      </c>
      <c r="D1091" s="86" t="s">
        <v>1992</v>
      </c>
      <c r="E1091" s="81"/>
      <c r="F1091" s="2" t="s">
        <v>239</v>
      </c>
      <c r="G1091" s="34">
        <v>17</v>
      </c>
      <c r="H1091" s="64">
        <v>0</v>
      </c>
      <c r="I1091" s="34">
        <f t="shared" si="22"/>
        <v>0</v>
      </c>
      <c r="J1091" s="65" t="s">
        <v>4</v>
      </c>
      <c r="K1091" s="59"/>
      <c r="Z1091" s="34">
        <f t="shared" si="23"/>
        <v>0</v>
      </c>
      <c r="AB1091" s="34">
        <f t="shared" si="24"/>
        <v>0</v>
      </c>
      <c r="AC1091" s="34">
        <f t="shared" si="25"/>
        <v>0</v>
      </c>
      <c r="AD1091" s="34">
        <f t="shared" si="26"/>
        <v>0</v>
      </c>
      <c r="AE1091" s="34">
        <f t="shared" si="27"/>
        <v>0</v>
      </c>
      <c r="AF1091" s="34">
        <f t="shared" si="28"/>
        <v>0</v>
      </c>
      <c r="AG1091" s="34">
        <f t="shared" si="29"/>
        <v>0</v>
      </c>
      <c r="AH1091" s="34">
        <f t="shared" si="30"/>
        <v>0</v>
      </c>
      <c r="AI1091" s="46" t="s">
        <v>87</v>
      </c>
      <c r="AJ1091" s="34">
        <f t="shared" si="31"/>
        <v>0</v>
      </c>
      <c r="AK1091" s="34">
        <f t="shared" si="32"/>
        <v>0</v>
      </c>
      <c r="AL1091" s="34">
        <f t="shared" si="33"/>
        <v>0</v>
      </c>
      <c r="AN1091" s="34">
        <v>21</v>
      </c>
      <c r="AO1091" s="34">
        <f t="shared" si="42"/>
        <v>0</v>
      </c>
      <c r="AP1091" s="34">
        <f t="shared" si="43"/>
        <v>0</v>
      </c>
      <c r="AQ1091" s="65" t="s">
        <v>175</v>
      </c>
      <c r="AV1091" s="34">
        <f t="shared" si="34"/>
        <v>0</v>
      </c>
      <c r="AW1091" s="34">
        <f t="shared" si="35"/>
        <v>0</v>
      </c>
      <c r="AX1091" s="34">
        <f t="shared" si="36"/>
        <v>0</v>
      </c>
      <c r="AY1091" s="65" t="s">
        <v>1964</v>
      </c>
      <c r="AZ1091" s="65" t="s">
        <v>1965</v>
      </c>
      <c r="BA1091" s="46" t="s">
        <v>1966</v>
      </c>
      <c r="BC1091" s="34">
        <f t="shared" si="37"/>
        <v>0</v>
      </c>
      <c r="BD1091" s="34">
        <f t="shared" si="38"/>
        <v>0</v>
      </c>
      <c r="BE1091" s="34">
        <v>0</v>
      </c>
      <c r="BF1091" s="34">
        <f>1091</f>
        <v>1091</v>
      </c>
      <c r="BH1091" s="34">
        <f t="shared" si="39"/>
        <v>0</v>
      </c>
      <c r="BI1091" s="34">
        <f t="shared" si="40"/>
        <v>0</v>
      </c>
      <c r="BJ1091" s="34">
        <f t="shared" si="41"/>
        <v>0</v>
      </c>
      <c r="BK1091" s="34"/>
      <c r="BL1091" s="34">
        <v>728</v>
      </c>
      <c r="BW1091" s="34">
        <v>21</v>
      </c>
      <c r="BX1091" s="3" t="s">
        <v>1992</v>
      </c>
    </row>
    <row r="1092" spans="1:76" x14ac:dyDescent="0.25">
      <c r="A1092" s="1" t="s">
        <v>1993</v>
      </c>
      <c r="B1092" s="2" t="s">
        <v>87</v>
      </c>
      <c r="C1092" s="2" t="s">
        <v>1991</v>
      </c>
      <c r="D1092" s="86" t="s">
        <v>1994</v>
      </c>
      <c r="E1092" s="81"/>
      <c r="F1092" s="2" t="s">
        <v>239</v>
      </c>
      <c r="G1092" s="34">
        <v>14</v>
      </c>
      <c r="H1092" s="64">
        <v>0</v>
      </c>
      <c r="I1092" s="34">
        <f t="shared" si="22"/>
        <v>0</v>
      </c>
      <c r="J1092" s="65" t="s">
        <v>4</v>
      </c>
      <c r="K1092" s="59"/>
      <c r="Z1092" s="34">
        <f t="shared" si="23"/>
        <v>0</v>
      </c>
      <c r="AB1092" s="34">
        <f t="shared" si="24"/>
        <v>0</v>
      </c>
      <c r="AC1092" s="34">
        <f t="shared" si="25"/>
        <v>0</v>
      </c>
      <c r="AD1092" s="34">
        <f t="shared" si="26"/>
        <v>0</v>
      </c>
      <c r="AE1092" s="34">
        <f t="shared" si="27"/>
        <v>0</v>
      </c>
      <c r="AF1092" s="34">
        <f t="shared" si="28"/>
        <v>0</v>
      </c>
      <c r="AG1092" s="34">
        <f t="shared" si="29"/>
        <v>0</v>
      </c>
      <c r="AH1092" s="34">
        <f t="shared" si="30"/>
        <v>0</v>
      </c>
      <c r="AI1092" s="46" t="s">
        <v>87</v>
      </c>
      <c r="AJ1092" s="34">
        <f t="shared" si="31"/>
        <v>0</v>
      </c>
      <c r="AK1092" s="34">
        <f t="shared" si="32"/>
        <v>0</v>
      </c>
      <c r="AL1092" s="34">
        <f t="shared" si="33"/>
        <v>0</v>
      </c>
      <c r="AN1092" s="34">
        <v>21</v>
      </c>
      <c r="AO1092" s="34">
        <f t="shared" si="42"/>
        <v>0</v>
      </c>
      <c r="AP1092" s="34">
        <f t="shared" si="43"/>
        <v>0</v>
      </c>
      <c r="AQ1092" s="65" t="s">
        <v>175</v>
      </c>
      <c r="AV1092" s="34">
        <f t="shared" si="34"/>
        <v>0</v>
      </c>
      <c r="AW1092" s="34">
        <f t="shared" si="35"/>
        <v>0</v>
      </c>
      <c r="AX1092" s="34">
        <f t="shared" si="36"/>
        <v>0</v>
      </c>
      <c r="AY1092" s="65" t="s">
        <v>1964</v>
      </c>
      <c r="AZ1092" s="65" t="s">
        <v>1965</v>
      </c>
      <c r="BA1092" s="46" t="s">
        <v>1966</v>
      </c>
      <c r="BC1092" s="34">
        <f t="shared" si="37"/>
        <v>0</v>
      </c>
      <c r="BD1092" s="34">
        <f t="shared" si="38"/>
        <v>0</v>
      </c>
      <c r="BE1092" s="34">
        <v>0</v>
      </c>
      <c r="BF1092" s="34">
        <f>1092</f>
        <v>1092</v>
      </c>
      <c r="BH1092" s="34">
        <f t="shared" si="39"/>
        <v>0</v>
      </c>
      <c r="BI1092" s="34">
        <f t="shared" si="40"/>
        <v>0</v>
      </c>
      <c r="BJ1092" s="34">
        <f t="shared" si="41"/>
        <v>0</v>
      </c>
      <c r="BK1092" s="34"/>
      <c r="BL1092" s="34">
        <v>728</v>
      </c>
      <c r="BW1092" s="34">
        <v>21</v>
      </c>
      <c r="BX1092" s="3" t="s">
        <v>1994</v>
      </c>
    </row>
    <row r="1093" spans="1:76" ht="25.5" x14ac:dyDescent="0.25">
      <c r="A1093" s="1" t="s">
        <v>1995</v>
      </c>
      <c r="B1093" s="2" t="s">
        <v>87</v>
      </c>
      <c r="C1093" s="2" t="s">
        <v>1996</v>
      </c>
      <c r="D1093" s="86" t="s">
        <v>1997</v>
      </c>
      <c r="E1093" s="81"/>
      <c r="F1093" s="2" t="s">
        <v>239</v>
      </c>
      <c r="G1093" s="34">
        <v>4</v>
      </c>
      <c r="H1093" s="64">
        <v>0</v>
      </c>
      <c r="I1093" s="34">
        <f t="shared" si="22"/>
        <v>0</v>
      </c>
      <c r="J1093" s="65" t="s">
        <v>4</v>
      </c>
      <c r="K1093" s="59"/>
      <c r="Z1093" s="34">
        <f t="shared" si="23"/>
        <v>0</v>
      </c>
      <c r="AB1093" s="34">
        <f t="shared" si="24"/>
        <v>0</v>
      </c>
      <c r="AC1093" s="34">
        <f t="shared" si="25"/>
        <v>0</v>
      </c>
      <c r="AD1093" s="34">
        <f t="shared" si="26"/>
        <v>0</v>
      </c>
      <c r="AE1093" s="34">
        <f t="shared" si="27"/>
        <v>0</v>
      </c>
      <c r="AF1093" s="34">
        <f t="shared" si="28"/>
        <v>0</v>
      </c>
      <c r="AG1093" s="34">
        <f t="shared" si="29"/>
        <v>0</v>
      </c>
      <c r="AH1093" s="34">
        <f t="shared" si="30"/>
        <v>0</v>
      </c>
      <c r="AI1093" s="46" t="s">
        <v>87</v>
      </c>
      <c r="AJ1093" s="34">
        <f t="shared" si="31"/>
        <v>0</v>
      </c>
      <c r="AK1093" s="34">
        <f t="shared" si="32"/>
        <v>0</v>
      </c>
      <c r="AL1093" s="34">
        <f t="shared" si="33"/>
        <v>0</v>
      </c>
      <c r="AN1093" s="34">
        <v>21</v>
      </c>
      <c r="AO1093" s="34">
        <f t="shared" si="42"/>
        <v>0</v>
      </c>
      <c r="AP1093" s="34">
        <f t="shared" si="43"/>
        <v>0</v>
      </c>
      <c r="AQ1093" s="65" t="s">
        <v>175</v>
      </c>
      <c r="AV1093" s="34">
        <f t="shared" si="34"/>
        <v>0</v>
      </c>
      <c r="AW1093" s="34">
        <f t="shared" si="35"/>
        <v>0</v>
      </c>
      <c r="AX1093" s="34">
        <f t="shared" si="36"/>
        <v>0</v>
      </c>
      <c r="AY1093" s="65" t="s">
        <v>1964</v>
      </c>
      <c r="AZ1093" s="65" t="s">
        <v>1965</v>
      </c>
      <c r="BA1093" s="46" t="s">
        <v>1966</v>
      </c>
      <c r="BC1093" s="34">
        <f t="shared" si="37"/>
        <v>0</v>
      </c>
      <c r="BD1093" s="34">
        <f t="shared" si="38"/>
        <v>0</v>
      </c>
      <c r="BE1093" s="34">
        <v>0</v>
      </c>
      <c r="BF1093" s="34">
        <f>1093</f>
        <v>1093</v>
      </c>
      <c r="BH1093" s="34">
        <f t="shared" si="39"/>
        <v>0</v>
      </c>
      <c r="BI1093" s="34">
        <f t="shared" si="40"/>
        <v>0</v>
      </c>
      <c r="BJ1093" s="34">
        <f t="shared" si="41"/>
        <v>0</v>
      </c>
      <c r="BK1093" s="34"/>
      <c r="BL1093" s="34">
        <v>728</v>
      </c>
      <c r="BW1093" s="34">
        <v>21</v>
      </c>
      <c r="BX1093" s="3" t="s">
        <v>1997</v>
      </c>
    </row>
    <row r="1094" spans="1:76" x14ac:dyDescent="0.25">
      <c r="A1094" s="1" t="s">
        <v>1998</v>
      </c>
      <c r="B1094" s="2" t="s">
        <v>87</v>
      </c>
      <c r="C1094" s="2" t="s">
        <v>1999</v>
      </c>
      <c r="D1094" s="86" t="s">
        <v>2000</v>
      </c>
      <c r="E1094" s="81"/>
      <c r="F1094" s="2" t="s">
        <v>258</v>
      </c>
      <c r="G1094" s="34">
        <v>6</v>
      </c>
      <c r="H1094" s="64">
        <v>0</v>
      </c>
      <c r="I1094" s="34">
        <f t="shared" si="22"/>
        <v>0</v>
      </c>
      <c r="J1094" s="65" t="s">
        <v>4</v>
      </c>
      <c r="K1094" s="59"/>
      <c r="Z1094" s="34">
        <f t="shared" si="23"/>
        <v>0</v>
      </c>
      <c r="AB1094" s="34">
        <f t="shared" si="24"/>
        <v>0</v>
      </c>
      <c r="AC1094" s="34">
        <f t="shared" si="25"/>
        <v>0</v>
      </c>
      <c r="AD1094" s="34">
        <f t="shared" si="26"/>
        <v>0</v>
      </c>
      <c r="AE1094" s="34">
        <f t="shared" si="27"/>
        <v>0</v>
      </c>
      <c r="AF1094" s="34">
        <f t="shared" si="28"/>
        <v>0</v>
      </c>
      <c r="AG1094" s="34">
        <f t="shared" si="29"/>
        <v>0</v>
      </c>
      <c r="AH1094" s="34">
        <f t="shared" si="30"/>
        <v>0</v>
      </c>
      <c r="AI1094" s="46" t="s">
        <v>87</v>
      </c>
      <c r="AJ1094" s="34">
        <f t="shared" si="31"/>
        <v>0</v>
      </c>
      <c r="AK1094" s="34">
        <f t="shared" si="32"/>
        <v>0</v>
      </c>
      <c r="AL1094" s="34">
        <f t="shared" si="33"/>
        <v>0</v>
      </c>
      <c r="AN1094" s="34">
        <v>21</v>
      </c>
      <c r="AO1094" s="34">
        <f t="shared" si="42"/>
        <v>0</v>
      </c>
      <c r="AP1094" s="34">
        <f t="shared" si="43"/>
        <v>0</v>
      </c>
      <c r="AQ1094" s="65" t="s">
        <v>175</v>
      </c>
      <c r="AV1094" s="34">
        <f t="shared" si="34"/>
        <v>0</v>
      </c>
      <c r="AW1094" s="34">
        <f t="shared" si="35"/>
        <v>0</v>
      </c>
      <c r="AX1094" s="34">
        <f t="shared" si="36"/>
        <v>0</v>
      </c>
      <c r="AY1094" s="65" t="s">
        <v>1964</v>
      </c>
      <c r="AZ1094" s="65" t="s">
        <v>1965</v>
      </c>
      <c r="BA1094" s="46" t="s">
        <v>1966</v>
      </c>
      <c r="BC1094" s="34">
        <f t="shared" si="37"/>
        <v>0</v>
      </c>
      <c r="BD1094" s="34">
        <f t="shared" si="38"/>
        <v>0</v>
      </c>
      <c r="BE1094" s="34">
        <v>0</v>
      </c>
      <c r="BF1094" s="34">
        <f>1094</f>
        <v>1094</v>
      </c>
      <c r="BH1094" s="34">
        <f t="shared" si="39"/>
        <v>0</v>
      </c>
      <c r="BI1094" s="34">
        <f t="shared" si="40"/>
        <v>0</v>
      </c>
      <c r="BJ1094" s="34">
        <f t="shared" si="41"/>
        <v>0</v>
      </c>
      <c r="BK1094" s="34"/>
      <c r="BL1094" s="34">
        <v>728</v>
      </c>
      <c r="BW1094" s="34">
        <v>21</v>
      </c>
      <c r="BX1094" s="3" t="s">
        <v>2000</v>
      </c>
    </row>
    <row r="1095" spans="1:76" x14ac:dyDescent="0.25">
      <c r="A1095" s="1" t="s">
        <v>2001</v>
      </c>
      <c r="B1095" s="2" t="s">
        <v>87</v>
      </c>
      <c r="C1095" s="2" t="s">
        <v>2002</v>
      </c>
      <c r="D1095" s="86" t="s">
        <v>2003</v>
      </c>
      <c r="E1095" s="81"/>
      <c r="F1095" s="2" t="s">
        <v>258</v>
      </c>
      <c r="G1095" s="34">
        <v>1</v>
      </c>
      <c r="H1095" s="64">
        <v>0</v>
      </c>
      <c r="I1095" s="34">
        <f t="shared" si="22"/>
        <v>0</v>
      </c>
      <c r="J1095" s="65" t="s">
        <v>4</v>
      </c>
      <c r="K1095" s="59"/>
      <c r="Z1095" s="34">
        <f t="shared" si="23"/>
        <v>0</v>
      </c>
      <c r="AB1095" s="34">
        <f t="shared" si="24"/>
        <v>0</v>
      </c>
      <c r="AC1095" s="34">
        <f t="shared" si="25"/>
        <v>0</v>
      </c>
      <c r="AD1095" s="34">
        <f t="shared" si="26"/>
        <v>0</v>
      </c>
      <c r="AE1095" s="34">
        <f t="shared" si="27"/>
        <v>0</v>
      </c>
      <c r="AF1095" s="34">
        <f t="shared" si="28"/>
        <v>0</v>
      </c>
      <c r="AG1095" s="34">
        <f t="shared" si="29"/>
        <v>0</v>
      </c>
      <c r="AH1095" s="34">
        <f t="shared" si="30"/>
        <v>0</v>
      </c>
      <c r="AI1095" s="46" t="s">
        <v>87</v>
      </c>
      <c r="AJ1095" s="34">
        <f t="shared" si="31"/>
        <v>0</v>
      </c>
      <c r="AK1095" s="34">
        <f t="shared" si="32"/>
        <v>0</v>
      </c>
      <c r="AL1095" s="34">
        <f t="shared" si="33"/>
        <v>0</v>
      </c>
      <c r="AN1095" s="34">
        <v>21</v>
      </c>
      <c r="AO1095" s="34">
        <f t="shared" si="42"/>
        <v>0</v>
      </c>
      <c r="AP1095" s="34">
        <f t="shared" si="43"/>
        <v>0</v>
      </c>
      <c r="AQ1095" s="65" t="s">
        <v>175</v>
      </c>
      <c r="AV1095" s="34">
        <f t="shared" si="34"/>
        <v>0</v>
      </c>
      <c r="AW1095" s="34">
        <f t="shared" si="35"/>
        <v>0</v>
      </c>
      <c r="AX1095" s="34">
        <f t="shared" si="36"/>
        <v>0</v>
      </c>
      <c r="AY1095" s="65" t="s">
        <v>1964</v>
      </c>
      <c r="AZ1095" s="65" t="s">
        <v>1965</v>
      </c>
      <c r="BA1095" s="46" t="s">
        <v>1966</v>
      </c>
      <c r="BC1095" s="34">
        <f t="shared" si="37"/>
        <v>0</v>
      </c>
      <c r="BD1095" s="34">
        <f t="shared" si="38"/>
        <v>0</v>
      </c>
      <c r="BE1095" s="34">
        <v>0</v>
      </c>
      <c r="BF1095" s="34">
        <f>1095</f>
        <v>1095</v>
      </c>
      <c r="BH1095" s="34">
        <f t="shared" si="39"/>
        <v>0</v>
      </c>
      <c r="BI1095" s="34">
        <f t="shared" si="40"/>
        <v>0</v>
      </c>
      <c r="BJ1095" s="34">
        <f t="shared" si="41"/>
        <v>0</v>
      </c>
      <c r="BK1095" s="34"/>
      <c r="BL1095" s="34">
        <v>728</v>
      </c>
      <c r="BW1095" s="34">
        <v>21</v>
      </c>
      <c r="BX1095" s="3" t="s">
        <v>2003</v>
      </c>
    </row>
    <row r="1096" spans="1:76" x14ac:dyDescent="0.25">
      <c r="A1096" s="1" t="s">
        <v>2004</v>
      </c>
      <c r="B1096" s="2" t="s">
        <v>87</v>
      </c>
      <c r="C1096" s="2" t="s">
        <v>2005</v>
      </c>
      <c r="D1096" s="86" t="s">
        <v>2006</v>
      </c>
      <c r="E1096" s="81"/>
      <c r="F1096" s="2" t="s">
        <v>258</v>
      </c>
      <c r="G1096" s="34">
        <v>3</v>
      </c>
      <c r="H1096" s="64">
        <v>0</v>
      </c>
      <c r="I1096" s="34">
        <f t="shared" si="22"/>
        <v>0</v>
      </c>
      <c r="J1096" s="65" t="s">
        <v>4</v>
      </c>
      <c r="K1096" s="59"/>
      <c r="Z1096" s="34">
        <f t="shared" si="23"/>
        <v>0</v>
      </c>
      <c r="AB1096" s="34">
        <f t="shared" si="24"/>
        <v>0</v>
      </c>
      <c r="AC1096" s="34">
        <f t="shared" si="25"/>
        <v>0</v>
      </c>
      <c r="AD1096" s="34">
        <f t="shared" si="26"/>
        <v>0</v>
      </c>
      <c r="AE1096" s="34">
        <f t="shared" si="27"/>
        <v>0</v>
      </c>
      <c r="AF1096" s="34">
        <f t="shared" si="28"/>
        <v>0</v>
      </c>
      <c r="AG1096" s="34">
        <f t="shared" si="29"/>
        <v>0</v>
      </c>
      <c r="AH1096" s="34">
        <f t="shared" si="30"/>
        <v>0</v>
      </c>
      <c r="AI1096" s="46" t="s">
        <v>87</v>
      </c>
      <c r="AJ1096" s="34">
        <f t="shared" si="31"/>
        <v>0</v>
      </c>
      <c r="AK1096" s="34">
        <f t="shared" si="32"/>
        <v>0</v>
      </c>
      <c r="AL1096" s="34">
        <f t="shared" si="33"/>
        <v>0</v>
      </c>
      <c r="AN1096" s="34">
        <v>21</v>
      </c>
      <c r="AO1096" s="34">
        <f t="shared" si="42"/>
        <v>0</v>
      </c>
      <c r="AP1096" s="34">
        <f t="shared" si="43"/>
        <v>0</v>
      </c>
      <c r="AQ1096" s="65" t="s">
        <v>175</v>
      </c>
      <c r="AV1096" s="34">
        <f t="shared" si="34"/>
        <v>0</v>
      </c>
      <c r="AW1096" s="34">
        <f t="shared" si="35"/>
        <v>0</v>
      </c>
      <c r="AX1096" s="34">
        <f t="shared" si="36"/>
        <v>0</v>
      </c>
      <c r="AY1096" s="65" t="s">
        <v>1964</v>
      </c>
      <c r="AZ1096" s="65" t="s">
        <v>1965</v>
      </c>
      <c r="BA1096" s="46" t="s">
        <v>1966</v>
      </c>
      <c r="BC1096" s="34">
        <f t="shared" si="37"/>
        <v>0</v>
      </c>
      <c r="BD1096" s="34">
        <f t="shared" si="38"/>
        <v>0</v>
      </c>
      <c r="BE1096" s="34">
        <v>0</v>
      </c>
      <c r="BF1096" s="34">
        <f>1096</f>
        <v>1096</v>
      </c>
      <c r="BH1096" s="34">
        <f t="shared" si="39"/>
        <v>0</v>
      </c>
      <c r="BI1096" s="34">
        <f t="shared" si="40"/>
        <v>0</v>
      </c>
      <c r="BJ1096" s="34">
        <f t="shared" si="41"/>
        <v>0</v>
      </c>
      <c r="BK1096" s="34"/>
      <c r="BL1096" s="34">
        <v>728</v>
      </c>
      <c r="BW1096" s="34">
        <v>21</v>
      </c>
      <c r="BX1096" s="3" t="s">
        <v>2006</v>
      </c>
    </row>
    <row r="1097" spans="1:76" x14ac:dyDescent="0.25">
      <c r="A1097" s="1" t="s">
        <v>2007</v>
      </c>
      <c r="B1097" s="2" t="s">
        <v>87</v>
      </c>
      <c r="C1097" s="2" t="s">
        <v>2008</v>
      </c>
      <c r="D1097" s="86" t="s">
        <v>2009</v>
      </c>
      <c r="E1097" s="81"/>
      <c r="F1097" s="2" t="s">
        <v>258</v>
      </c>
      <c r="G1097" s="34">
        <v>2</v>
      </c>
      <c r="H1097" s="64">
        <v>0</v>
      </c>
      <c r="I1097" s="34">
        <f t="shared" si="22"/>
        <v>0</v>
      </c>
      <c r="J1097" s="65" t="s">
        <v>4</v>
      </c>
      <c r="K1097" s="59"/>
      <c r="Z1097" s="34">
        <f t="shared" si="23"/>
        <v>0</v>
      </c>
      <c r="AB1097" s="34">
        <f t="shared" si="24"/>
        <v>0</v>
      </c>
      <c r="AC1097" s="34">
        <f t="shared" si="25"/>
        <v>0</v>
      </c>
      <c r="AD1097" s="34">
        <f t="shared" si="26"/>
        <v>0</v>
      </c>
      <c r="AE1097" s="34">
        <f t="shared" si="27"/>
        <v>0</v>
      </c>
      <c r="AF1097" s="34">
        <f t="shared" si="28"/>
        <v>0</v>
      </c>
      <c r="AG1097" s="34">
        <f t="shared" si="29"/>
        <v>0</v>
      </c>
      <c r="AH1097" s="34">
        <f t="shared" si="30"/>
        <v>0</v>
      </c>
      <c r="AI1097" s="46" t="s">
        <v>87</v>
      </c>
      <c r="AJ1097" s="34">
        <f t="shared" si="31"/>
        <v>0</v>
      </c>
      <c r="AK1097" s="34">
        <f t="shared" si="32"/>
        <v>0</v>
      </c>
      <c r="AL1097" s="34">
        <f t="shared" si="33"/>
        <v>0</v>
      </c>
      <c r="AN1097" s="34">
        <v>21</v>
      </c>
      <c r="AO1097" s="34">
        <f t="shared" si="42"/>
        <v>0</v>
      </c>
      <c r="AP1097" s="34">
        <f t="shared" si="43"/>
        <v>0</v>
      </c>
      <c r="AQ1097" s="65" t="s">
        <v>175</v>
      </c>
      <c r="AV1097" s="34">
        <f t="shared" si="34"/>
        <v>0</v>
      </c>
      <c r="AW1097" s="34">
        <f t="shared" si="35"/>
        <v>0</v>
      </c>
      <c r="AX1097" s="34">
        <f t="shared" si="36"/>
        <v>0</v>
      </c>
      <c r="AY1097" s="65" t="s">
        <v>1964</v>
      </c>
      <c r="AZ1097" s="65" t="s">
        <v>1965</v>
      </c>
      <c r="BA1097" s="46" t="s">
        <v>1966</v>
      </c>
      <c r="BC1097" s="34">
        <f t="shared" si="37"/>
        <v>0</v>
      </c>
      <c r="BD1097" s="34">
        <f t="shared" si="38"/>
        <v>0</v>
      </c>
      <c r="BE1097" s="34">
        <v>0</v>
      </c>
      <c r="BF1097" s="34">
        <f>1097</f>
        <v>1097</v>
      </c>
      <c r="BH1097" s="34">
        <f t="shared" si="39"/>
        <v>0</v>
      </c>
      <c r="BI1097" s="34">
        <f t="shared" si="40"/>
        <v>0</v>
      </c>
      <c r="BJ1097" s="34">
        <f t="shared" si="41"/>
        <v>0</v>
      </c>
      <c r="BK1097" s="34"/>
      <c r="BL1097" s="34">
        <v>728</v>
      </c>
      <c r="BW1097" s="34">
        <v>21</v>
      </c>
      <c r="BX1097" s="3" t="s">
        <v>2009</v>
      </c>
    </row>
    <row r="1098" spans="1:76" x14ac:dyDescent="0.25">
      <c r="A1098" s="1" t="s">
        <v>2010</v>
      </c>
      <c r="B1098" s="2" t="s">
        <v>87</v>
      </c>
      <c r="C1098" s="2" t="s">
        <v>1968</v>
      </c>
      <c r="D1098" s="86" t="s">
        <v>2011</v>
      </c>
      <c r="E1098" s="81"/>
      <c r="F1098" s="2" t="s">
        <v>132</v>
      </c>
      <c r="G1098" s="34">
        <v>5.38</v>
      </c>
      <c r="H1098" s="64">
        <v>0</v>
      </c>
      <c r="I1098" s="34">
        <f t="shared" si="22"/>
        <v>0</v>
      </c>
      <c r="J1098" s="65" t="s">
        <v>4</v>
      </c>
      <c r="K1098" s="59"/>
      <c r="Z1098" s="34">
        <f t="shared" si="23"/>
        <v>0</v>
      </c>
      <c r="AB1098" s="34">
        <f t="shared" si="24"/>
        <v>0</v>
      </c>
      <c r="AC1098" s="34">
        <f t="shared" si="25"/>
        <v>0</v>
      </c>
      <c r="AD1098" s="34">
        <f t="shared" si="26"/>
        <v>0</v>
      </c>
      <c r="AE1098" s="34">
        <f t="shared" si="27"/>
        <v>0</v>
      </c>
      <c r="AF1098" s="34">
        <f t="shared" si="28"/>
        <v>0</v>
      </c>
      <c r="AG1098" s="34">
        <f t="shared" si="29"/>
        <v>0</v>
      </c>
      <c r="AH1098" s="34">
        <f t="shared" si="30"/>
        <v>0</v>
      </c>
      <c r="AI1098" s="46" t="s">
        <v>87</v>
      </c>
      <c r="AJ1098" s="34">
        <f t="shared" si="31"/>
        <v>0</v>
      </c>
      <c r="AK1098" s="34">
        <f t="shared" si="32"/>
        <v>0</v>
      </c>
      <c r="AL1098" s="34">
        <f t="shared" si="33"/>
        <v>0</v>
      </c>
      <c r="AN1098" s="34">
        <v>21</v>
      </c>
      <c r="AO1098" s="34">
        <f>H1098*1</f>
        <v>0</v>
      </c>
      <c r="AP1098" s="34">
        <f>H1098*(1-1)</f>
        <v>0</v>
      </c>
      <c r="AQ1098" s="65" t="s">
        <v>175</v>
      </c>
      <c r="AV1098" s="34">
        <f t="shared" si="34"/>
        <v>0</v>
      </c>
      <c r="AW1098" s="34">
        <f t="shared" si="35"/>
        <v>0</v>
      </c>
      <c r="AX1098" s="34">
        <f t="shared" si="36"/>
        <v>0</v>
      </c>
      <c r="AY1098" s="65" t="s">
        <v>1964</v>
      </c>
      <c r="AZ1098" s="65" t="s">
        <v>1965</v>
      </c>
      <c r="BA1098" s="46" t="s">
        <v>1966</v>
      </c>
      <c r="BC1098" s="34">
        <f t="shared" si="37"/>
        <v>0</v>
      </c>
      <c r="BD1098" s="34">
        <f t="shared" si="38"/>
        <v>0</v>
      </c>
      <c r="BE1098" s="34">
        <v>0</v>
      </c>
      <c r="BF1098" s="34">
        <f>1098</f>
        <v>1098</v>
      </c>
      <c r="BH1098" s="34">
        <f t="shared" si="39"/>
        <v>0</v>
      </c>
      <c r="BI1098" s="34">
        <f t="shared" si="40"/>
        <v>0</v>
      </c>
      <c r="BJ1098" s="34">
        <f t="shared" si="41"/>
        <v>0</v>
      </c>
      <c r="BK1098" s="34"/>
      <c r="BL1098" s="34">
        <v>728</v>
      </c>
      <c r="BW1098" s="34">
        <v>21</v>
      </c>
      <c r="BX1098" s="3" t="s">
        <v>2011</v>
      </c>
    </row>
    <row r="1099" spans="1:76" x14ac:dyDescent="0.25">
      <c r="A1099" s="1" t="s">
        <v>2012</v>
      </c>
      <c r="B1099" s="2" t="s">
        <v>87</v>
      </c>
      <c r="C1099" s="2" t="s">
        <v>1968</v>
      </c>
      <c r="D1099" s="86" t="s">
        <v>2013</v>
      </c>
      <c r="E1099" s="81"/>
      <c r="F1099" s="2" t="s">
        <v>132</v>
      </c>
      <c r="G1099" s="34">
        <v>2.06</v>
      </c>
      <c r="H1099" s="64">
        <v>0</v>
      </c>
      <c r="I1099" s="34">
        <f t="shared" si="22"/>
        <v>0</v>
      </c>
      <c r="J1099" s="65" t="s">
        <v>4</v>
      </c>
      <c r="K1099" s="59"/>
      <c r="Z1099" s="34">
        <f t="shared" si="23"/>
        <v>0</v>
      </c>
      <c r="AB1099" s="34">
        <f t="shared" si="24"/>
        <v>0</v>
      </c>
      <c r="AC1099" s="34">
        <f t="shared" si="25"/>
        <v>0</v>
      </c>
      <c r="AD1099" s="34">
        <f t="shared" si="26"/>
        <v>0</v>
      </c>
      <c r="AE1099" s="34">
        <f t="shared" si="27"/>
        <v>0</v>
      </c>
      <c r="AF1099" s="34">
        <f t="shared" si="28"/>
        <v>0</v>
      </c>
      <c r="AG1099" s="34">
        <f t="shared" si="29"/>
        <v>0</v>
      </c>
      <c r="AH1099" s="34">
        <f t="shared" si="30"/>
        <v>0</v>
      </c>
      <c r="AI1099" s="46" t="s">
        <v>87</v>
      </c>
      <c r="AJ1099" s="34">
        <f t="shared" si="31"/>
        <v>0</v>
      </c>
      <c r="AK1099" s="34">
        <f t="shared" si="32"/>
        <v>0</v>
      </c>
      <c r="AL1099" s="34">
        <f t="shared" si="33"/>
        <v>0</v>
      </c>
      <c r="AN1099" s="34">
        <v>21</v>
      </c>
      <c r="AO1099" s="34">
        <f>H1099*1</f>
        <v>0</v>
      </c>
      <c r="AP1099" s="34">
        <f>H1099*(1-1)</f>
        <v>0</v>
      </c>
      <c r="AQ1099" s="65" t="s">
        <v>175</v>
      </c>
      <c r="AV1099" s="34">
        <f t="shared" si="34"/>
        <v>0</v>
      </c>
      <c r="AW1099" s="34">
        <f t="shared" si="35"/>
        <v>0</v>
      </c>
      <c r="AX1099" s="34">
        <f t="shared" si="36"/>
        <v>0</v>
      </c>
      <c r="AY1099" s="65" t="s">
        <v>1964</v>
      </c>
      <c r="AZ1099" s="65" t="s">
        <v>1965</v>
      </c>
      <c r="BA1099" s="46" t="s">
        <v>1966</v>
      </c>
      <c r="BC1099" s="34">
        <f t="shared" si="37"/>
        <v>0</v>
      </c>
      <c r="BD1099" s="34">
        <f t="shared" si="38"/>
        <v>0</v>
      </c>
      <c r="BE1099" s="34">
        <v>0</v>
      </c>
      <c r="BF1099" s="34">
        <f>1099</f>
        <v>1099</v>
      </c>
      <c r="BH1099" s="34">
        <f t="shared" si="39"/>
        <v>0</v>
      </c>
      <c r="BI1099" s="34">
        <f t="shared" si="40"/>
        <v>0</v>
      </c>
      <c r="BJ1099" s="34">
        <f t="shared" si="41"/>
        <v>0</v>
      </c>
      <c r="BK1099" s="34"/>
      <c r="BL1099" s="34">
        <v>728</v>
      </c>
      <c r="BW1099" s="34">
        <v>21</v>
      </c>
      <c r="BX1099" s="3" t="s">
        <v>2013</v>
      </c>
    </row>
    <row r="1100" spans="1:76" x14ac:dyDescent="0.25">
      <c r="A1100" s="1" t="s">
        <v>2014</v>
      </c>
      <c r="B1100" s="2" t="s">
        <v>87</v>
      </c>
      <c r="C1100" s="2" t="s">
        <v>2015</v>
      </c>
      <c r="D1100" s="86" t="s">
        <v>2016</v>
      </c>
      <c r="E1100" s="81"/>
      <c r="F1100" s="2" t="s">
        <v>258</v>
      </c>
      <c r="G1100" s="34">
        <v>1</v>
      </c>
      <c r="H1100" s="64">
        <v>0</v>
      </c>
      <c r="I1100" s="34">
        <f t="shared" si="22"/>
        <v>0</v>
      </c>
      <c r="J1100" s="65" t="s">
        <v>4</v>
      </c>
      <c r="K1100" s="59"/>
      <c r="Z1100" s="34">
        <f t="shared" si="23"/>
        <v>0</v>
      </c>
      <c r="AB1100" s="34">
        <f t="shared" si="24"/>
        <v>0</v>
      </c>
      <c r="AC1100" s="34">
        <f t="shared" si="25"/>
        <v>0</v>
      </c>
      <c r="AD1100" s="34">
        <f t="shared" si="26"/>
        <v>0</v>
      </c>
      <c r="AE1100" s="34">
        <f t="shared" si="27"/>
        <v>0</v>
      </c>
      <c r="AF1100" s="34">
        <f t="shared" si="28"/>
        <v>0</v>
      </c>
      <c r="AG1100" s="34">
        <f t="shared" si="29"/>
        <v>0</v>
      </c>
      <c r="AH1100" s="34">
        <f t="shared" si="30"/>
        <v>0</v>
      </c>
      <c r="AI1100" s="46" t="s">
        <v>87</v>
      </c>
      <c r="AJ1100" s="34">
        <f t="shared" si="31"/>
        <v>0</v>
      </c>
      <c r="AK1100" s="34">
        <f t="shared" si="32"/>
        <v>0</v>
      </c>
      <c r="AL1100" s="34">
        <f t="shared" si="33"/>
        <v>0</v>
      </c>
      <c r="AN1100" s="34">
        <v>21</v>
      </c>
      <c r="AO1100" s="34">
        <f>H1100*0</f>
        <v>0</v>
      </c>
      <c r="AP1100" s="34">
        <f>H1100*(1-0)</f>
        <v>0</v>
      </c>
      <c r="AQ1100" s="65" t="s">
        <v>175</v>
      </c>
      <c r="AV1100" s="34">
        <f t="shared" si="34"/>
        <v>0</v>
      </c>
      <c r="AW1100" s="34">
        <f t="shared" si="35"/>
        <v>0</v>
      </c>
      <c r="AX1100" s="34">
        <f t="shared" si="36"/>
        <v>0</v>
      </c>
      <c r="AY1100" s="65" t="s">
        <v>1964</v>
      </c>
      <c r="AZ1100" s="65" t="s">
        <v>1965</v>
      </c>
      <c r="BA1100" s="46" t="s">
        <v>1966</v>
      </c>
      <c r="BC1100" s="34">
        <f t="shared" si="37"/>
        <v>0</v>
      </c>
      <c r="BD1100" s="34">
        <f t="shared" si="38"/>
        <v>0</v>
      </c>
      <c r="BE1100" s="34">
        <v>0</v>
      </c>
      <c r="BF1100" s="34">
        <f>1100</f>
        <v>1100</v>
      </c>
      <c r="BH1100" s="34">
        <f t="shared" si="39"/>
        <v>0</v>
      </c>
      <c r="BI1100" s="34">
        <f t="shared" si="40"/>
        <v>0</v>
      </c>
      <c r="BJ1100" s="34">
        <f t="shared" si="41"/>
        <v>0</v>
      </c>
      <c r="BK1100" s="34"/>
      <c r="BL1100" s="34">
        <v>728</v>
      </c>
      <c r="BW1100" s="34">
        <v>21</v>
      </c>
      <c r="BX1100" s="3" t="s">
        <v>2016</v>
      </c>
    </row>
    <row r="1101" spans="1:76" x14ac:dyDescent="0.25">
      <c r="A1101" s="1" t="s">
        <v>2017</v>
      </c>
      <c r="B1101" s="2" t="s">
        <v>87</v>
      </c>
      <c r="C1101" s="2" t="s">
        <v>2018</v>
      </c>
      <c r="D1101" s="86" t="s">
        <v>2019</v>
      </c>
      <c r="E1101" s="81"/>
      <c r="F1101" s="2" t="s">
        <v>258</v>
      </c>
      <c r="G1101" s="34">
        <v>1</v>
      </c>
      <c r="H1101" s="64">
        <v>0</v>
      </c>
      <c r="I1101" s="34">
        <f t="shared" si="22"/>
        <v>0</v>
      </c>
      <c r="J1101" s="65" t="s">
        <v>4</v>
      </c>
      <c r="K1101" s="59"/>
      <c r="Z1101" s="34">
        <f t="shared" si="23"/>
        <v>0</v>
      </c>
      <c r="AB1101" s="34">
        <f t="shared" si="24"/>
        <v>0</v>
      </c>
      <c r="AC1101" s="34">
        <f t="shared" si="25"/>
        <v>0</v>
      </c>
      <c r="AD1101" s="34">
        <f t="shared" si="26"/>
        <v>0</v>
      </c>
      <c r="AE1101" s="34">
        <f t="shared" si="27"/>
        <v>0</v>
      </c>
      <c r="AF1101" s="34">
        <f t="shared" si="28"/>
        <v>0</v>
      </c>
      <c r="AG1101" s="34">
        <f t="shared" si="29"/>
        <v>0</v>
      </c>
      <c r="AH1101" s="34">
        <f t="shared" si="30"/>
        <v>0</v>
      </c>
      <c r="AI1101" s="46" t="s">
        <v>87</v>
      </c>
      <c r="AJ1101" s="34">
        <f t="shared" si="31"/>
        <v>0</v>
      </c>
      <c r="AK1101" s="34">
        <f t="shared" si="32"/>
        <v>0</v>
      </c>
      <c r="AL1101" s="34">
        <f t="shared" si="33"/>
        <v>0</v>
      </c>
      <c r="AN1101" s="34">
        <v>21</v>
      </c>
      <c r="AO1101" s="34">
        <f>H1101*1</f>
        <v>0</v>
      </c>
      <c r="AP1101" s="34">
        <f>H1101*(1-1)</f>
        <v>0</v>
      </c>
      <c r="AQ1101" s="65" t="s">
        <v>175</v>
      </c>
      <c r="AV1101" s="34">
        <f t="shared" si="34"/>
        <v>0</v>
      </c>
      <c r="AW1101" s="34">
        <f t="shared" si="35"/>
        <v>0</v>
      </c>
      <c r="AX1101" s="34">
        <f t="shared" si="36"/>
        <v>0</v>
      </c>
      <c r="AY1101" s="65" t="s">
        <v>1964</v>
      </c>
      <c r="AZ1101" s="65" t="s">
        <v>1965</v>
      </c>
      <c r="BA1101" s="46" t="s">
        <v>1966</v>
      </c>
      <c r="BC1101" s="34">
        <f t="shared" si="37"/>
        <v>0</v>
      </c>
      <c r="BD1101" s="34">
        <f t="shared" si="38"/>
        <v>0</v>
      </c>
      <c r="BE1101" s="34">
        <v>0</v>
      </c>
      <c r="BF1101" s="34">
        <f>1101</f>
        <v>1101</v>
      </c>
      <c r="BH1101" s="34">
        <f t="shared" si="39"/>
        <v>0</v>
      </c>
      <c r="BI1101" s="34">
        <f t="shared" si="40"/>
        <v>0</v>
      </c>
      <c r="BJ1101" s="34">
        <f t="shared" si="41"/>
        <v>0</v>
      </c>
      <c r="BK1101" s="34"/>
      <c r="BL1101" s="34">
        <v>728</v>
      </c>
      <c r="BW1101" s="34">
        <v>21</v>
      </c>
      <c r="BX1101" s="3" t="s">
        <v>2019</v>
      </c>
    </row>
    <row r="1102" spans="1:76" x14ac:dyDescent="0.25">
      <c r="A1102" s="1" t="s">
        <v>2020</v>
      </c>
      <c r="B1102" s="2" t="s">
        <v>87</v>
      </c>
      <c r="C1102" s="2" t="s">
        <v>2021</v>
      </c>
      <c r="D1102" s="86" t="s">
        <v>2022</v>
      </c>
      <c r="E1102" s="81"/>
      <c r="F1102" s="2" t="s">
        <v>258</v>
      </c>
      <c r="G1102" s="34">
        <v>2</v>
      </c>
      <c r="H1102" s="64">
        <v>0</v>
      </c>
      <c r="I1102" s="34">
        <f t="shared" si="22"/>
        <v>0</v>
      </c>
      <c r="J1102" s="65" t="s">
        <v>4</v>
      </c>
      <c r="K1102" s="59"/>
      <c r="Z1102" s="34">
        <f t="shared" si="23"/>
        <v>0</v>
      </c>
      <c r="AB1102" s="34">
        <f t="shared" si="24"/>
        <v>0</v>
      </c>
      <c r="AC1102" s="34">
        <f t="shared" si="25"/>
        <v>0</v>
      </c>
      <c r="AD1102" s="34">
        <f t="shared" si="26"/>
        <v>0</v>
      </c>
      <c r="AE1102" s="34">
        <f t="shared" si="27"/>
        <v>0</v>
      </c>
      <c r="AF1102" s="34">
        <f t="shared" si="28"/>
        <v>0</v>
      </c>
      <c r="AG1102" s="34">
        <f t="shared" si="29"/>
        <v>0</v>
      </c>
      <c r="AH1102" s="34">
        <f t="shared" si="30"/>
        <v>0</v>
      </c>
      <c r="AI1102" s="46" t="s">
        <v>87</v>
      </c>
      <c r="AJ1102" s="34">
        <f t="shared" si="31"/>
        <v>0</v>
      </c>
      <c r="AK1102" s="34">
        <f t="shared" si="32"/>
        <v>0</v>
      </c>
      <c r="AL1102" s="34">
        <f t="shared" si="33"/>
        <v>0</v>
      </c>
      <c r="AN1102" s="34">
        <v>21</v>
      </c>
      <c r="AO1102" s="34">
        <f>H1102*0</f>
        <v>0</v>
      </c>
      <c r="AP1102" s="34">
        <f>H1102*(1-0)</f>
        <v>0</v>
      </c>
      <c r="AQ1102" s="65" t="s">
        <v>175</v>
      </c>
      <c r="AV1102" s="34">
        <f t="shared" si="34"/>
        <v>0</v>
      </c>
      <c r="AW1102" s="34">
        <f t="shared" si="35"/>
        <v>0</v>
      </c>
      <c r="AX1102" s="34">
        <f t="shared" si="36"/>
        <v>0</v>
      </c>
      <c r="AY1102" s="65" t="s">
        <v>1964</v>
      </c>
      <c r="AZ1102" s="65" t="s">
        <v>1965</v>
      </c>
      <c r="BA1102" s="46" t="s">
        <v>1966</v>
      </c>
      <c r="BC1102" s="34">
        <f t="shared" si="37"/>
        <v>0</v>
      </c>
      <c r="BD1102" s="34">
        <f t="shared" si="38"/>
        <v>0</v>
      </c>
      <c r="BE1102" s="34">
        <v>0</v>
      </c>
      <c r="BF1102" s="34">
        <f>1102</f>
        <v>1102</v>
      </c>
      <c r="BH1102" s="34">
        <f t="shared" si="39"/>
        <v>0</v>
      </c>
      <c r="BI1102" s="34">
        <f t="shared" si="40"/>
        <v>0</v>
      </c>
      <c r="BJ1102" s="34">
        <f t="shared" si="41"/>
        <v>0</v>
      </c>
      <c r="BK1102" s="34"/>
      <c r="BL1102" s="34">
        <v>728</v>
      </c>
      <c r="BW1102" s="34">
        <v>21</v>
      </c>
      <c r="BX1102" s="3" t="s">
        <v>2022</v>
      </c>
    </row>
    <row r="1103" spans="1:76" x14ac:dyDescent="0.25">
      <c r="A1103" s="1" t="s">
        <v>1506</v>
      </c>
      <c r="B1103" s="2" t="s">
        <v>87</v>
      </c>
      <c r="C1103" s="2" t="s">
        <v>2023</v>
      </c>
      <c r="D1103" s="86" t="s">
        <v>2024</v>
      </c>
      <c r="E1103" s="81"/>
      <c r="F1103" s="2" t="s">
        <v>258</v>
      </c>
      <c r="G1103" s="34">
        <v>2</v>
      </c>
      <c r="H1103" s="64">
        <v>0</v>
      </c>
      <c r="I1103" s="34">
        <f t="shared" si="22"/>
        <v>0</v>
      </c>
      <c r="J1103" s="65" t="s">
        <v>4</v>
      </c>
      <c r="K1103" s="59"/>
      <c r="Z1103" s="34">
        <f t="shared" si="23"/>
        <v>0</v>
      </c>
      <c r="AB1103" s="34">
        <f t="shared" si="24"/>
        <v>0</v>
      </c>
      <c r="AC1103" s="34">
        <f t="shared" si="25"/>
        <v>0</v>
      </c>
      <c r="AD1103" s="34">
        <f t="shared" si="26"/>
        <v>0</v>
      </c>
      <c r="AE1103" s="34">
        <f t="shared" si="27"/>
        <v>0</v>
      </c>
      <c r="AF1103" s="34">
        <f t="shared" si="28"/>
        <v>0</v>
      </c>
      <c r="AG1103" s="34">
        <f t="shared" si="29"/>
        <v>0</v>
      </c>
      <c r="AH1103" s="34">
        <f t="shared" si="30"/>
        <v>0</v>
      </c>
      <c r="AI1103" s="46" t="s">
        <v>87</v>
      </c>
      <c r="AJ1103" s="34">
        <f t="shared" si="31"/>
        <v>0</v>
      </c>
      <c r="AK1103" s="34">
        <f t="shared" si="32"/>
        <v>0</v>
      </c>
      <c r="AL1103" s="34">
        <f t="shared" si="33"/>
        <v>0</v>
      </c>
      <c r="AN1103" s="34">
        <v>21</v>
      </c>
      <c r="AO1103" s="34">
        <f>H1103*1</f>
        <v>0</v>
      </c>
      <c r="AP1103" s="34">
        <f>H1103*(1-1)</f>
        <v>0</v>
      </c>
      <c r="AQ1103" s="65" t="s">
        <v>175</v>
      </c>
      <c r="AV1103" s="34">
        <f t="shared" si="34"/>
        <v>0</v>
      </c>
      <c r="AW1103" s="34">
        <f t="shared" si="35"/>
        <v>0</v>
      </c>
      <c r="AX1103" s="34">
        <f t="shared" si="36"/>
        <v>0</v>
      </c>
      <c r="AY1103" s="65" t="s">
        <v>1964</v>
      </c>
      <c r="AZ1103" s="65" t="s">
        <v>1965</v>
      </c>
      <c r="BA1103" s="46" t="s">
        <v>1966</v>
      </c>
      <c r="BC1103" s="34">
        <f t="shared" si="37"/>
        <v>0</v>
      </c>
      <c r="BD1103" s="34">
        <f t="shared" si="38"/>
        <v>0</v>
      </c>
      <c r="BE1103" s="34">
        <v>0</v>
      </c>
      <c r="BF1103" s="34">
        <f>1103</f>
        <v>1103</v>
      </c>
      <c r="BH1103" s="34">
        <f t="shared" si="39"/>
        <v>0</v>
      </c>
      <c r="BI1103" s="34">
        <f t="shared" si="40"/>
        <v>0</v>
      </c>
      <c r="BJ1103" s="34">
        <f t="shared" si="41"/>
        <v>0</v>
      </c>
      <c r="BK1103" s="34"/>
      <c r="BL1103" s="34">
        <v>728</v>
      </c>
      <c r="BW1103" s="34">
        <v>21</v>
      </c>
      <c r="BX1103" s="3" t="s">
        <v>2024</v>
      </c>
    </row>
    <row r="1104" spans="1:76" x14ac:dyDescent="0.25">
      <c r="A1104" s="1" t="s">
        <v>2025</v>
      </c>
      <c r="B1104" s="2" t="s">
        <v>87</v>
      </c>
      <c r="C1104" s="2" t="s">
        <v>2026</v>
      </c>
      <c r="D1104" s="86" t="s">
        <v>2027</v>
      </c>
      <c r="E1104" s="81"/>
      <c r="F1104" s="2" t="s">
        <v>258</v>
      </c>
      <c r="G1104" s="34">
        <v>2</v>
      </c>
      <c r="H1104" s="64">
        <v>0</v>
      </c>
      <c r="I1104" s="34">
        <f t="shared" si="22"/>
        <v>0</v>
      </c>
      <c r="J1104" s="65" t="s">
        <v>4</v>
      </c>
      <c r="K1104" s="59"/>
      <c r="Z1104" s="34">
        <f t="shared" si="23"/>
        <v>0</v>
      </c>
      <c r="AB1104" s="34">
        <f t="shared" si="24"/>
        <v>0</v>
      </c>
      <c r="AC1104" s="34">
        <f t="shared" si="25"/>
        <v>0</v>
      </c>
      <c r="AD1104" s="34">
        <f t="shared" si="26"/>
        <v>0</v>
      </c>
      <c r="AE1104" s="34">
        <f t="shared" si="27"/>
        <v>0</v>
      </c>
      <c r="AF1104" s="34">
        <f t="shared" si="28"/>
        <v>0</v>
      </c>
      <c r="AG1104" s="34">
        <f t="shared" si="29"/>
        <v>0</v>
      </c>
      <c r="AH1104" s="34">
        <f t="shared" si="30"/>
        <v>0</v>
      </c>
      <c r="AI1104" s="46" t="s">
        <v>87</v>
      </c>
      <c r="AJ1104" s="34">
        <f t="shared" si="31"/>
        <v>0</v>
      </c>
      <c r="AK1104" s="34">
        <f t="shared" si="32"/>
        <v>0</v>
      </c>
      <c r="AL1104" s="34">
        <f t="shared" si="33"/>
        <v>0</v>
      </c>
      <c r="AN1104" s="34">
        <v>21</v>
      </c>
      <c r="AO1104" s="34">
        <f>H1104*0</f>
        <v>0</v>
      </c>
      <c r="AP1104" s="34">
        <f>H1104*(1-0)</f>
        <v>0</v>
      </c>
      <c r="AQ1104" s="65" t="s">
        <v>175</v>
      </c>
      <c r="AV1104" s="34">
        <f t="shared" si="34"/>
        <v>0</v>
      </c>
      <c r="AW1104" s="34">
        <f t="shared" si="35"/>
        <v>0</v>
      </c>
      <c r="AX1104" s="34">
        <f t="shared" si="36"/>
        <v>0</v>
      </c>
      <c r="AY1104" s="65" t="s">
        <v>1964</v>
      </c>
      <c r="AZ1104" s="65" t="s">
        <v>1965</v>
      </c>
      <c r="BA1104" s="46" t="s">
        <v>1966</v>
      </c>
      <c r="BC1104" s="34">
        <f t="shared" si="37"/>
        <v>0</v>
      </c>
      <c r="BD1104" s="34">
        <f t="shared" si="38"/>
        <v>0</v>
      </c>
      <c r="BE1104" s="34">
        <v>0</v>
      </c>
      <c r="BF1104" s="34">
        <f>1104</f>
        <v>1104</v>
      </c>
      <c r="BH1104" s="34">
        <f t="shared" si="39"/>
        <v>0</v>
      </c>
      <c r="BI1104" s="34">
        <f t="shared" si="40"/>
        <v>0</v>
      </c>
      <c r="BJ1104" s="34">
        <f t="shared" si="41"/>
        <v>0</v>
      </c>
      <c r="BK1104" s="34"/>
      <c r="BL1104" s="34">
        <v>728</v>
      </c>
      <c r="BW1104" s="34">
        <v>21</v>
      </c>
      <c r="BX1104" s="3" t="s">
        <v>2027</v>
      </c>
    </row>
    <row r="1105" spans="1:76" x14ac:dyDescent="0.25">
      <c r="A1105" s="1" t="s">
        <v>2028</v>
      </c>
      <c r="B1105" s="2" t="s">
        <v>87</v>
      </c>
      <c r="C1105" s="2" t="s">
        <v>2029</v>
      </c>
      <c r="D1105" s="86" t="s">
        <v>2024</v>
      </c>
      <c r="E1105" s="81"/>
      <c r="F1105" s="2" t="s">
        <v>258</v>
      </c>
      <c r="G1105" s="34">
        <v>2</v>
      </c>
      <c r="H1105" s="64">
        <v>0</v>
      </c>
      <c r="I1105" s="34">
        <f t="shared" si="22"/>
        <v>0</v>
      </c>
      <c r="J1105" s="65" t="s">
        <v>4</v>
      </c>
      <c r="K1105" s="59"/>
      <c r="Z1105" s="34">
        <f t="shared" si="23"/>
        <v>0</v>
      </c>
      <c r="AB1105" s="34">
        <f t="shared" si="24"/>
        <v>0</v>
      </c>
      <c r="AC1105" s="34">
        <f t="shared" si="25"/>
        <v>0</v>
      </c>
      <c r="AD1105" s="34">
        <f t="shared" si="26"/>
        <v>0</v>
      </c>
      <c r="AE1105" s="34">
        <f t="shared" si="27"/>
        <v>0</v>
      </c>
      <c r="AF1105" s="34">
        <f t="shared" si="28"/>
        <v>0</v>
      </c>
      <c r="AG1105" s="34">
        <f t="shared" si="29"/>
        <v>0</v>
      </c>
      <c r="AH1105" s="34">
        <f t="shared" si="30"/>
        <v>0</v>
      </c>
      <c r="AI1105" s="46" t="s">
        <v>87</v>
      </c>
      <c r="AJ1105" s="34">
        <f t="shared" si="31"/>
        <v>0</v>
      </c>
      <c r="AK1105" s="34">
        <f t="shared" si="32"/>
        <v>0</v>
      </c>
      <c r="AL1105" s="34">
        <f t="shared" si="33"/>
        <v>0</v>
      </c>
      <c r="AN1105" s="34">
        <v>21</v>
      </c>
      <c r="AO1105" s="34">
        <f>H1105*1</f>
        <v>0</v>
      </c>
      <c r="AP1105" s="34">
        <f>H1105*(1-1)</f>
        <v>0</v>
      </c>
      <c r="AQ1105" s="65" t="s">
        <v>175</v>
      </c>
      <c r="AV1105" s="34">
        <f t="shared" si="34"/>
        <v>0</v>
      </c>
      <c r="AW1105" s="34">
        <f t="shared" si="35"/>
        <v>0</v>
      </c>
      <c r="AX1105" s="34">
        <f t="shared" si="36"/>
        <v>0</v>
      </c>
      <c r="AY1105" s="65" t="s">
        <v>1964</v>
      </c>
      <c r="AZ1105" s="65" t="s">
        <v>1965</v>
      </c>
      <c r="BA1105" s="46" t="s">
        <v>1966</v>
      </c>
      <c r="BC1105" s="34">
        <f t="shared" si="37"/>
        <v>0</v>
      </c>
      <c r="BD1105" s="34">
        <f t="shared" si="38"/>
        <v>0</v>
      </c>
      <c r="BE1105" s="34">
        <v>0</v>
      </c>
      <c r="BF1105" s="34">
        <f>1105</f>
        <v>1105</v>
      </c>
      <c r="BH1105" s="34">
        <f t="shared" si="39"/>
        <v>0</v>
      </c>
      <c r="BI1105" s="34">
        <f t="shared" si="40"/>
        <v>0</v>
      </c>
      <c r="BJ1105" s="34">
        <f t="shared" si="41"/>
        <v>0</v>
      </c>
      <c r="BK1105" s="34"/>
      <c r="BL1105" s="34">
        <v>728</v>
      </c>
      <c r="BW1105" s="34">
        <v>21</v>
      </c>
      <c r="BX1105" s="3" t="s">
        <v>2024</v>
      </c>
    </row>
    <row r="1106" spans="1:76" ht="25.5" x14ac:dyDescent="0.25">
      <c r="A1106" s="1" t="s">
        <v>2030</v>
      </c>
      <c r="B1106" s="2" t="s">
        <v>87</v>
      </c>
      <c r="C1106" s="2" t="s">
        <v>2031</v>
      </c>
      <c r="D1106" s="86" t="s">
        <v>2032</v>
      </c>
      <c r="E1106" s="81"/>
      <c r="F1106" s="2" t="s">
        <v>258</v>
      </c>
      <c r="G1106" s="34">
        <v>4</v>
      </c>
      <c r="H1106" s="64">
        <v>0</v>
      </c>
      <c r="I1106" s="34">
        <f t="shared" si="22"/>
        <v>0</v>
      </c>
      <c r="J1106" s="65" t="s">
        <v>4</v>
      </c>
      <c r="K1106" s="59"/>
      <c r="Z1106" s="34">
        <f t="shared" si="23"/>
        <v>0</v>
      </c>
      <c r="AB1106" s="34">
        <f t="shared" si="24"/>
        <v>0</v>
      </c>
      <c r="AC1106" s="34">
        <f t="shared" si="25"/>
        <v>0</v>
      </c>
      <c r="AD1106" s="34">
        <f t="shared" si="26"/>
        <v>0</v>
      </c>
      <c r="AE1106" s="34">
        <f t="shared" si="27"/>
        <v>0</v>
      </c>
      <c r="AF1106" s="34">
        <f t="shared" si="28"/>
        <v>0</v>
      </c>
      <c r="AG1106" s="34">
        <f t="shared" si="29"/>
        <v>0</v>
      </c>
      <c r="AH1106" s="34">
        <f t="shared" si="30"/>
        <v>0</v>
      </c>
      <c r="AI1106" s="46" t="s">
        <v>87</v>
      </c>
      <c r="AJ1106" s="34">
        <f t="shared" si="31"/>
        <v>0</v>
      </c>
      <c r="AK1106" s="34">
        <f t="shared" si="32"/>
        <v>0</v>
      </c>
      <c r="AL1106" s="34">
        <f t="shared" si="33"/>
        <v>0</v>
      </c>
      <c r="AN1106" s="34">
        <v>21</v>
      </c>
      <c r="AO1106" s="34">
        <f t="shared" ref="AO1106:AO1122" si="44">H1106*0</f>
        <v>0</v>
      </c>
      <c r="AP1106" s="34">
        <f t="shared" ref="AP1106:AP1122" si="45">H1106*(1-0)</f>
        <v>0</v>
      </c>
      <c r="AQ1106" s="65" t="s">
        <v>175</v>
      </c>
      <c r="AV1106" s="34">
        <f t="shared" si="34"/>
        <v>0</v>
      </c>
      <c r="AW1106" s="34">
        <f t="shared" si="35"/>
        <v>0</v>
      </c>
      <c r="AX1106" s="34">
        <f t="shared" si="36"/>
        <v>0</v>
      </c>
      <c r="AY1106" s="65" t="s">
        <v>1964</v>
      </c>
      <c r="AZ1106" s="65" t="s">
        <v>1965</v>
      </c>
      <c r="BA1106" s="46" t="s">
        <v>1966</v>
      </c>
      <c r="BC1106" s="34">
        <f t="shared" si="37"/>
        <v>0</v>
      </c>
      <c r="BD1106" s="34">
        <f t="shared" si="38"/>
        <v>0</v>
      </c>
      <c r="BE1106" s="34">
        <v>0</v>
      </c>
      <c r="BF1106" s="34">
        <f>1106</f>
        <v>1106</v>
      </c>
      <c r="BH1106" s="34">
        <f t="shared" si="39"/>
        <v>0</v>
      </c>
      <c r="BI1106" s="34">
        <f t="shared" si="40"/>
        <v>0</v>
      </c>
      <c r="BJ1106" s="34">
        <f t="shared" si="41"/>
        <v>0</v>
      </c>
      <c r="BK1106" s="34"/>
      <c r="BL1106" s="34">
        <v>728</v>
      </c>
      <c r="BW1106" s="34">
        <v>21</v>
      </c>
      <c r="BX1106" s="3" t="s">
        <v>2032</v>
      </c>
    </row>
    <row r="1107" spans="1:76" ht="25.5" x14ac:dyDescent="0.25">
      <c r="A1107" s="1" t="s">
        <v>2033</v>
      </c>
      <c r="B1107" s="2" t="s">
        <v>87</v>
      </c>
      <c r="C1107" s="2" t="s">
        <v>2034</v>
      </c>
      <c r="D1107" s="86" t="s">
        <v>2035</v>
      </c>
      <c r="E1107" s="81"/>
      <c r="F1107" s="2" t="s">
        <v>258</v>
      </c>
      <c r="G1107" s="34">
        <v>9</v>
      </c>
      <c r="H1107" s="64">
        <v>0</v>
      </c>
      <c r="I1107" s="34">
        <f t="shared" si="22"/>
        <v>0</v>
      </c>
      <c r="J1107" s="65" t="s">
        <v>4</v>
      </c>
      <c r="K1107" s="59"/>
      <c r="Z1107" s="34">
        <f t="shared" si="23"/>
        <v>0</v>
      </c>
      <c r="AB1107" s="34">
        <f t="shared" si="24"/>
        <v>0</v>
      </c>
      <c r="AC1107" s="34">
        <f t="shared" si="25"/>
        <v>0</v>
      </c>
      <c r="AD1107" s="34">
        <f t="shared" si="26"/>
        <v>0</v>
      </c>
      <c r="AE1107" s="34">
        <f t="shared" si="27"/>
        <v>0</v>
      </c>
      <c r="AF1107" s="34">
        <f t="shared" si="28"/>
        <v>0</v>
      </c>
      <c r="AG1107" s="34">
        <f t="shared" si="29"/>
        <v>0</v>
      </c>
      <c r="AH1107" s="34">
        <f t="shared" si="30"/>
        <v>0</v>
      </c>
      <c r="AI1107" s="46" t="s">
        <v>87</v>
      </c>
      <c r="AJ1107" s="34">
        <f t="shared" si="31"/>
        <v>0</v>
      </c>
      <c r="AK1107" s="34">
        <f t="shared" si="32"/>
        <v>0</v>
      </c>
      <c r="AL1107" s="34">
        <f t="shared" si="33"/>
        <v>0</v>
      </c>
      <c r="AN1107" s="34">
        <v>21</v>
      </c>
      <c r="AO1107" s="34">
        <f t="shared" si="44"/>
        <v>0</v>
      </c>
      <c r="AP1107" s="34">
        <f t="shared" si="45"/>
        <v>0</v>
      </c>
      <c r="AQ1107" s="65" t="s">
        <v>175</v>
      </c>
      <c r="AV1107" s="34">
        <f t="shared" si="34"/>
        <v>0</v>
      </c>
      <c r="AW1107" s="34">
        <f t="shared" si="35"/>
        <v>0</v>
      </c>
      <c r="AX1107" s="34">
        <f t="shared" si="36"/>
        <v>0</v>
      </c>
      <c r="AY1107" s="65" t="s">
        <v>1964</v>
      </c>
      <c r="AZ1107" s="65" t="s">
        <v>1965</v>
      </c>
      <c r="BA1107" s="46" t="s">
        <v>1966</v>
      </c>
      <c r="BC1107" s="34">
        <f t="shared" si="37"/>
        <v>0</v>
      </c>
      <c r="BD1107" s="34">
        <f t="shared" si="38"/>
        <v>0</v>
      </c>
      <c r="BE1107" s="34">
        <v>0</v>
      </c>
      <c r="BF1107" s="34">
        <f>1107</f>
        <v>1107</v>
      </c>
      <c r="BH1107" s="34">
        <f t="shared" si="39"/>
        <v>0</v>
      </c>
      <c r="BI1107" s="34">
        <f t="shared" si="40"/>
        <v>0</v>
      </c>
      <c r="BJ1107" s="34">
        <f t="shared" si="41"/>
        <v>0</v>
      </c>
      <c r="BK1107" s="34"/>
      <c r="BL1107" s="34">
        <v>728</v>
      </c>
      <c r="BW1107" s="34">
        <v>21</v>
      </c>
      <c r="BX1107" s="3" t="s">
        <v>2035</v>
      </c>
    </row>
    <row r="1108" spans="1:76" ht="25.5" x14ac:dyDescent="0.25">
      <c r="A1108" s="1" t="s">
        <v>2036</v>
      </c>
      <c r="B1108" s="2" t="s">
        <v>87</v>
      </c>
      <c r="C1108" s="2" t="s">
        <v>2037</v>
      </c>
      <c r="D1108" s="86" t="s">
        <v>2038</v>
      </c>
      <c r="E1108" s="81"/>
      <c r="F1108" s="2" t="s">
        <v>258</v>
      </c>
      <c r="G1108" s="34">
        <v>3</v>
      </c>
      <c r="H1108" s="64">
        <v>0</v>
      </c>
      <c r="I1108" s="34">
        <f t="shared" si="22"/>
        <v>0</v>
      </c>
      <c r="J1108" s="65" t="s">
        <v>4</v>
      </c>
      <c r="K1108" s="59"/>
      <c r="Z1108" s="34">
        <f t="shared" si="23"/>
        <v>0</v>
      </c>
      <c r="AB1108" s="34">
        <f t="shared" si="24"/>
        <v>0</v>
      </c>
      <c r="AC1108" s="34">
        <f t="shared" si="25"/>
        <v>0</v>
      </c>
      <c r="AD1108" s="34">
        <f t="shared" si="26"/>
        <v>0</v>
      </c>
      <c r="AE1108" s="34">
        <f t="shared" si="27"/>
        <v>0</v>
      </c>
      <c r="AF1108" s="34">
        <f t="shared" si="28"/>
        <v>0</v>
      </c>
      <c r="AG1108" s="34">
        <f t="shared" si="29"/>
        <v>0</v>
      </c>
      <c r="AH1108" s="34">
        <f t="shared" si="30"/>
        <v>0</v>
      </c>
      <c r="AI1108" s="46" t="s">
        <v>87</v>
      </c>
      <c r="AJ1108" s="34">
        <f t="shared" si="31"/>
        <v>0</v>
      </c>
      <c r="AK1108" s="34">
        <f t="shared" si="32"/>
        <v>0</v>
      </c>
      <c r="AL1108" s="34">
        <f t="shared" si="33"/>
        <v>0</v>
      </c>
      <c r="AN1108" s="34">
        <v>21</v>
      </c>
      <c r="AO1108" s="34">
        <f t="shared" si="44"/>
        <v>0</v>
      </c>
      <c r="AP1108" s="34">
        <f t="shared" si="45"/>
        <v>0</v>
      </c>
      <c r="AQ1108" s="65" t="s">
        <v>175</v>
      </c>
      <c r="AV1108" s="34">
        <f t="shared" si="34"/>
        <v>0</v>
      </c>
      <c r="AW1108" s="34">
        <f t="shared" si="35"/>
        <v>0</v>
      </c>
      <c r="AX1108" s="34">
        <f t="shared" si="36"/>
        <v>0</v>
      </c>
      <c r="AY1108" s="65" t="s">
        <v>1964</v>
      </c>
      <c r="AZ1108" s="65" t="s">
        <v>1965</v>
      </c>
      <c r="BA1108" s="46" t="s">
        <v>1966</v>
      </c>
      <c r="BC1108" s="34">
        <f t="shared" si="37"/>
        <v>0</v>
      </c>
      <c r="BD1108" s="34">
        <f t="shared" si="38"/>
        <v>0</v>
      </c>
      <c r="BE1108" s="34">
        <v>0</v>
      </c>
      <c r="BF1108" s="34">
        <f>1108</f>
        <v>1108</v>
      </c>
      <c r="BH1108" s="34">
        <f t="shared" si="39"/>
        <v>0</v>
      </c>
      <c r="BI1108" s="34">
        <f t="shared" si="40"/>
        <v>0</v>
      </c>
      <c r="BJ1108" s="34">
        <f t="shared" si="41"/>
        <v>0</v>
      </c>
      <c r="BK1108" s="34"/>
      <c r="BL1108" s="34">
        <v>728</v>
      </c>
      <c r="BW1108" s="34">
        <v>21</v>
      </c>
      <c r="BX1108" s="3" t="s">
        <v>2038</v>
      </c>
    </row>
    <row r="1109" spans="1:76" ht="25.5" x14ac:dyDescent="0.25">
      <c r="A1109" s="1" t="s">
        <v>2039</v>
      </c>
      <c r="B1109" s="2" t="s">
        <v>87</v>
      </c>
      <c r="C1109" s="2" t="s">
        <v>2040</v>
      </c>
      <c r="D1109" s="86" t="s">
        <v>2041</v>
      </c>
      <c r="E1109" s="81"/>
      <c r="F1109" s="2" t="s">
        <v>258</v>
      </c>
      <c r="G1109" s="34">
        <v>3</v>
      </c>
      <c r="H1109" s="64">
        <v>0</v>
      </c>
      <c r="I1109" s="34">
        <f t="shared" si="22"/>
        <v>0</v>
      </c>
      <c r="J1109" s="65" t="s">
        <v>4</v>
      </c>
      <c r="K1109" s="59"/>
      <c r="Z1109" s="34">
        <f t="shared" si="23"/>
        <v>0</v>
      </c>
      <c r="AB1109" s="34">
        <f t="shared" si="24"/>
        <v>0</v>
      </c>
      <c r="AC1109" s="34">
        <f t="shared" si="25"/>
        <v>0</v>
      </c>
      <c r="AD1109" s="34">
        <f t="shared" si="26"/>
        <v>0</v>
      </c>
      <c r="AE1109" s="34">
        <f t="shared" si="27"/>
        <v>0</v>
      </c>
      <c r="AF1109" s="34">
        <f t="shared" si="28"/>
        <v>0</v>
      </c>
      <c r="AG1109" s="34">
        <f t="shared" si="29"/>
        <v>0</v>
      </c>
      <c r="AH1109" s="34">
        <f t="shared" si="30"/>
        <v>0</v>
      </c>
      <c r="AI1109" s="46" t="s">
        <v>87</v>
      </c>
      <c r="AJ1109" s="34">
        <f t="shared" si="31"/>
        <v>0</v>
      </c>
      <c r="AK1109" s="34">
        <f t="shared" si="32"/>
        <v>0</v>
      </c>
      <c r="AL1109" s="34">
        <f t="shared" si="33"/>
        <v>0</v>
      </c>
      <c r="AN1109" s="34">
        <v>21</v>
      </c>
      <c r="AO1109" s="34">
        <f t="shared" si="44"/>
        <v>0</v>
      </c>
      <c r="AP1109" s="34">
        <f t="shared" si="45"/>
        <v>0</v>
      </c>
      <c r="AQ1109" s="65" t="s">
        <v>175</v>
      </c>
      <c r="AV1109" s="34">
        <f t="shared" si="34"/>
        <v>0</v>
      </c>
      <c r="AW1109" s="34">
        <f t="shared" si="35"/>
        <v>0</v>
      </c>
      <c r="AX1109" s="34">
        <f t="shared" si="36"/>
        <v>0</v>
      </c>
      <c r="AY1109" s="65" t="s">
        <v>1964</v>
      </c>
      <c r="AZ1109" s="65" t="s">
        <v>1965</v>
      </c>
      <c r="BA1109" s="46" t="s">
        <v>1966</v>
      </c>
      <c r="BC1109" s="34">
        <f t="shared" si="37"/>
        <v>0</v>
      </c>
      <c r="BD1109" s="34">
        <f t="shared" si="38"/>
        <v>0</v>
      </c>
      <c r="BE1109" s="34">
        <v>0</v>
      </c>
      <c r="BF1109" s="34">
        <f>1109</f>
        <v>1109</v>
      </c>
      <c r="BH1109" s="34">
        <f t="shared" si="39"/>
        <v>0</v>
      </c>
      <c r="BI1109" s="34">
        <f t="shared" si="40"/>
        <v>0</v>
      </c>
      <c r="BJ1109" s="34">
        <f t="shared" si="41"/>
        <v>0</v>
      </c>
      <c r="BK1109" s="34"/>
      <c r="BL1109" s="34">
        <v>728</v>
      </c>
      <c r="BW1109" s="34">
        <v>21</v>
      </c>
      <c r="BX1109" s="3" t="s">
        <v>2041</v>
      </c>
    </row>
    <row r="1110" spans="1:76" ht="25.5" x14ac:dyDescent="0.25">
      <c r="A1110" s="1" t="s">
        <v>2042</v>
      </c>
      <c r="B1110" s="2" t="s">
        <v>87</v>
      </c>
      <c r="C1110" s="2" t="s">
        <v>2040</v>
      </c>
      <c r="D1110" s="86" t="s">
        <v>2043</v>
      </c>
      <c r="E1110" s="81"/>
      <c r="F1110" s="2" t="s">
        <v>258</v>
      </c>
      <c r="G1110" s="34">
        <v>1</v>
      </c>
      <c r="H1110" s="64">
        <v>0</v>
      </c>
      <c r="I1110" s="34">
        <f t="shared" si="22"/>
        <v>0</v>
      </c>
      <c r="J1110" s="65" t="s">
        <v>4</v>
      </c>
      <c r="K1110" s="59"/>
      <c r="Z1110" s="34">
        <f t="shared" si="23"/>
        <v>0</v>
      </c>
      <c r="AB1110" s="34">
        <f t="shared" si="24"/>
        <v>0</v>
      </c>
      <c r="AC1110" s="34">
        <f t="shared" si="25"/>
        <v>0</v>
      </c>
      <c r="AD1110" s="34">
        <f t="shared" si="26"/>
        <v>0</v>
      </c>
      <c r="AE1110" s="34">
        <f t="shared" si="27"/>
        <v>0</v>
      </c>
      <c r="AF1110" s="34">
        <f t="shared" si="28"/>
        <v>0</v>
      </c>
      <c r="AG1110" s="34">
        <f t="shared" si="29"/>
        <v>0</v>
      </c>
      <c r="AH1110" s="34">
        <f t="shared" si="30"/>
        <v>0</v>
      </c>
      <c r="AI1110" s="46" t="s">
        <v>87</v>
      </c>
      <c r="AJ1110" s="34">
        <f t="shared" si="31"/>
        <v>0</v>
      </c>
      <c r="AK1110" s="34">
        <f t="shared" si="32"/>
        <v>0</v>
      </c>
      <c r="AL1110" s="34">
        <f t="shared" si="33"/>
        <v>0</v>
      </c>
      <c r="AN1110" s="34">
        <v>21</v>
      </c>
      <c r="AO1110" s="34">
        <f t="shared" si="44"/>
        <v>0</v>
      </c>
      <c r="AP1110" s="34">
        <f t="shared" si="45"/>
        <v>0</v>
      </c>
      <c r="AQ1110" s="65" t="s">
        <v>175</v>
      </c>
      <c r="AV1110" s="34">
        <f t="shared" si="34"/>
        <v>0</v>
      </c>
      <c r="AW1110" s="34">
        <f t="shared" si="35"/>
        <v>0</v>
      </c>
      <c r="AX1110" s="34">
        <f t="shared" si="36"/>
        <v>0</v>
      </c>
      <c r="AY1110" s="65" t="s">
        <v>1964</v>
      </c>
      <c r="AZ1110" s="65" t="s">
        <v>1965</v>
      </c>
      <c r="BA1110" s="46" t="s">
        <v>1966</v>
      </c>
      <c r="BC1110" s="34">
        <f t="shared" si="37"/>
        <v>0</v>
      </c>
      <c r="BD1110" s="34">
        <f t="shared" si="38"/>
        <v>0</v>
      </c>
      <c r="BE1110" s="34">
        <v>0</v>
      </c>
      <c r="BF1110" s="34">
        <f>1110</f>
        <v>1110</v>
      </c>
      <c r="BH1110" s="34">
        <f t="shared" si="39"/>
        <v>0</v>
      </c>
      <c r="BI1110" s="34">
        <f t="shared" si="40"/>
        <v>0</v>
      </c>
      <c r="BJ1110" s="34">
        <f t="shared" si="41"/>
        <v>0</v>
      </c>
      <c r="BK1110" s="34"/>
      <c r="BL1110" s="34">
        <v>728</v>
      </c>
      <c r="BW1110" s="34">
        <v>21</v>
      </c>
      <c r="BX1110" s="3" t="s">
        <v>2043</v>
      </c>
    </row>
    <row r="1111" spans="1:76" ht="25.5" x14ac:dyDescent="0.25">
      <c r="A1111" s="1" t="s">
        <v>2044</v>
      </c>
      <c r="B1111" s="2" t="s">
        <v>87</v>
      </c>
      <c r="C1111" s="2" t="s">
        <v>2045</v>
      </c>
      <c r="D1111" s="86" t="s">
        <v>2046</v>
      </c>
      <c r="E1111" s="81"/>
      <c r="F1111" s="2" t="s">
        <v>258</v>
      </c>
      <c r="G1111" s="34">
        <v>3</v>
      </c>
      <c r="H1111" s="64">
        <v>0</v>
      </c>
      <c r="I1111" s="34">
        <f t="shared" si="22"/>
        <v>0</v>
      </c>
      <c r="J1111" s="65" t="s">
        <v>4</v>
      </c>
      <c r="K1111" s="59"/>
      <c r="Z1111" s="34">
        <f t="shared" si="23"/>
        <v>0</v>
      </c>
      <c r="AB1111" s="34">
        <f t="shared" si="24"/>
        <v>0</v>
      </c>
      <c r="AC1111" s="34">
        <f t="shared" si="25"/>
        <v>0</v>
      </c>
      <c r="AD1111" s="34">
        <f t="shared" si="26"/>
        <v>0</v>
      </c>
      <c r="AE1111" s="34">
        <f t="shared" si="27"/>
        <v>0</v>
      </c>
      <c r="AF1111" s="34">
        <f t="shared" si="28"/>
        <v>0</v>
      </c>
      <c r="AG1111" s="34">
        <f t="shared" si="29"/>
        <v>0</v>
      </c>
      <c r="AH1111" s="34">
        <f t="shared" si="30"/>
        <v>0</v>
      </c>
      <c r="AI1111" s="46" t="s">
        <v>87</v>
      </c>
      <c r="AJ1111" s="34">
        <f t="shared" si="31"/>
        <v>0</v>
      </c>
      <c r="AK1111" s="34">
        <f t="shared" si="32"/>
        <v>0</v>
      </c>
      <c r="AL1111" s="34">
        <f t="shared" si="33"/>
        <v>0</v>
      </c>
      <c r="AN1111" s="34">
        <v>21</v>
      </c>
      <c r="AO1111" s="34">
        <f t="shared" si="44"/>
        <v>0</v>
      </c>
      <c r="AP1111" s="34">
        <f t="shared" si="45"/>
        <v>0</v>
      </c>
      <c r="AQ1111" s="65" t="s">
        <v>175</v>
      </c>
      <c r="AV1111" s="34">
        <f t="shared" si="34"/>
        <v>0</v>
      </c>
      <c r="AW1111" s="34">
        <f t="shared" si="35"/>
        <v>0</v>
      </c>
      <c r="AX1111" s="34">
        <f t="shared" si="36"/>
        <v>0</v>
      </c>
      <c r="AY1111" s="65" t="s">
        <v>1964</v>
      </c>
      <c r="AZ1111" s="65" t="s">
        <v>1965</v>
      </c>
      <c r="BA1111" s="46" t="s">
        <v>1966</v>
      </c>
      <c r="BC1111" s="34">
        <f t="shared" si="37"/>
        <v>0</v>
      </c>
      <c r="BD1111" s="34">
        <f t="shared" si="38"/>
        <v>0</v>
      </c>
      <c r="BE1111" s="34">
        <v>0</v>
      </c>
      <c r="BF1111" s="34">
        <f>1111</f>
        <v>1111</v>
      </c>
      <c r="BH1111" s="34">
        <f t="shared" si="39"/>
        <v>0</v>
      </c>
      <c r="BI1111" s="34">
        <f t="shared" si="40"/>
        <v>0</v>
      </c>
      <c r="BJ1111" s="34">
        <f t="shared" si="41"/>
        <v>0</v>
      </c>
      <c r="BK1111" s="34"/>
      <c r="BL1111" s="34">
        <v>728</v>
      </c>
      <c r="BW1111" s="34">
        <v>21</v>
      </c>
      <c r="BX1111" s="3" t="s">
        <v>2046</v>
      </c>
    </row>
    <row r="1112" spans="1:76" ht="25.5" x14ac:dyDescent="0.25">
      <c r="A1112" s="1" t="s">
        <v>2047</v>
      </c>
      <c r="B1112" s="2" t="s">
        <v>87</v>
      </c>
      <c r="C1112" s="2" t="s">
        <v>2048</v>
      </c>
      <c r="D1112" s="86" t="s">
        <v>2049</v>
      </c>
      <c r="E1112" s="81"/>
      <c r="F1112" s="2" t="s">
        <v>258</v>
      </c>
      <c r="G1112" s="34">
        <v>2</v>
      </c>
      <c r="H1112" s="64">
        <v>0</v>
      </c>
      <c r="I1112" s="34">
        <f t="shared" si="22"/>
        <v>0</v>
      </c>
      <c r="J1112" s="65" t="s">
        <v>4</v>
      </c>
      <c r="K1112" s="59"/>
      <c r="Z1112" s="34">
        <f t="shared" si="23"/>
        <v>0</v>
      </c>
      <c r="AB1112" s="34">
        <f t="shared" si="24"/>
        <v>0</v>
      </c>
      <c r="AC1112" s="34">
        <f t="shared" si="25"/>
        <v>0</v>
      </c>
      <c r="AD1112" s="34">
        <f t="shared" si="26"/>
        <v>0</v>
      </c>
      <c r="AE1112" s="34">
        <f t="shared" si="27"/>
        <v>0</v>
      </c>
      <c r="AF1112" s="34">
        <f t="shared" si="28"/>
        <v>0</v>
      </c>
      <c r="AG1112" s="34">
        <f t="shared" si="29"/>
        <v>0</v>
      </c>
      <c r="AH1112" s="34">
        <f t="shared" si="30"/>
        <v>0</v>
      </c>
      <c r="AI1112" s="46" t="s">
        <v>87</v>
      </c>
      <c r="AJ1112" s="34">
        <f t="shared" si="31"/>
        <v>0</v>
      </c>
      <c r="AK1112" s="34">
        <f t="shared" si="32"/>
        <v>0</v>
      </c>
      <c r="AL1112" s="34">
        <f t="shared" si="33"/>
        <v>0</v>
      </c>
      <c r="AN1112" s="34">
        <v>21</v>
      </c>
      <c r="AO1112" s="34">
        <f t="shared" si="44"/>
        <v>0</v>
      </c>
      <c r="AP1112" s="34">
        <f t="shared" si="45"/>
        <v>0</v>
      </c>
      <c r="AQ1112" s="65" t="s">
        <v>175</v>
      </c>
      <c r="AV1112" s="34">
        <f t="shared" si="34"/>
        <v>0</v>
      </c>
      <c r="AW1112" s="34">
        <f t="shared" si="35"/>
        <v>0</v>
      </c>
      <c r="AX1112" s="34">
        <f t="shared" si="36"/>
        <v>0</v>
      </c>
      <c r="AY1112" s="65" t="s">
        <v>1964</v>
      </c>
      <c r="AZ1112" s="65" t="s">
        <v>1965</v>
      </c>
      <c r="BA1112" s="46" t="s">
        <v>1966</v>
      </c>
      <c r="BC1112" s="34">
        <f t="shared" si="37"/>
        <v>0</v>
      </c>
      <c r="BD1112" s="34">
        <f t="shared" si="38"/>
        <v>0</v>
      </c>
      <c r="BE1112" s="34">
        <v>0</v>
      </c>
      <c r="BF1112" s="34">
        <f>1112</f>
        <v>1112</v>
      </c>
      <c r="BH1112" s="34">
        <f t="shared" si="39"/>
        <v>0</v>
      </c>
      <c r="BI1112" s="34">
        <f t="shared" si="40"/>
        <v>0</v>
      </c>
      <c r="BJ1112" s="34">
        <f t="shared" si="41"/>
        <v>0</v>
      </c>
      <c r="BK1112" s="34"/>
      <c r="BL1112" s="34">
        <v>728</v>
      </c>
      <c r="BW1112" s="34">
        <v>21</v>
      </c>
      <c r="BX1112" s="3" t="s">
        <v>2049</v>
      </c>
    </row>
    <row r="1113" spans="1:76" ht="25.5" x14ac:dyDescent="0.25">
      <c r="A1113" s="1" t="s">
        <v>644</v>
      </c>
      <c r="B1113" s="2" t="s">
        <v>87</v>
      </c>
      <c r="C1113" s="2" t="s">
        <v>2048</v>
      </c>
      <c r="D1113" s="86" t="s">
        <v>2050</v>
      </c>
      <c r="E1113" s="81"/>
      <c r="F1113" s="2" t="s">
        <v>258</v>
      </c>
      <c r="G1113" s="34">
        <v>1</v>
      </c>
      <c r="H1113" s="64">
        <v>0</v>
      </c>
      <c r="I1113" s="34">
        <f t="shared" ref="I1113:I1144" si="46">ROUND(G1113*H1113,2)</f>
        <v>0</v>
      </c>
      <c r="J1113" s="65" t="s">
        <v>4</v>
      </c>
      <c r="K1113" s="59"/>
      <c r="Z1113" s="34">
        <f t="shared" ref="Z1113:Z1141" si="47">ROUND(IF(AQ1113="5",BJ1113,0),2)</f>
        <v>0</v>
      </c>
      <c r="AB1113" s="34">
        <f t="shared" ref="AB1113:AB1141" si="48">ROUND(IF(AQ1113="1",BH1113,0),2)</f>
        <v>0</v>
      </c>
      <c r="AC1113" s="34">
        <f t="shared" ref="AC1113:AC1141" si="49">ROUND(IF(AQ1113="1",BI1113,0),2)</f>
        <v>0</v>
      </c>
      <c r="AD1113" s="34">
        <f t="shared" ref="AD1113:AD1141" si="50">ROUND(IF(AQ1113="7",BH1113,0),2)</f>
        <v>0</v>
      </c>
      <c r="AE1113" s="34">
        <f t="shared" ref="AE1113:AE1141" si="51">ROUND(IF(AQ1113="7",BI1113,0),2)</f>
        <v>0</v>
      </c>
      <c r="AF1113" s="34">
        <f t="shared" ref="AF1113:AF1141" si="52">ROUND(IF(AQ1113="2",BH1113,0),2)</f>
        <v>0</v>
      </c>
      <c r="AG1113" s="34">
        <f t="shared" ref="AG1113:AG1141" si="53">ROUND(IF(AQ1113="2",BI1113,0),2)</f>
        <v>0</v>
      </c>
      <c r="AH1113" s="34">
        <f t="shared" ref="AH1113:AH1141" si="54">ROUND(IF(AQ1113="0",BJ1113,0),2)</f>
        <v>0</v>
      </c>
      <c r="AI1113" s="46" t="s">
        <v>87</v>
      </c>
      <c r="AJ1113" s="34">
        <f t="shared" ref="AJ1113:AJ1141" si="55">IF(AN1113=0,I1113,0)</f>
        <v>0</v>
      </c>
      <c r="AK1113" s="34">
        <f t="shared" ref="AK1113:AK1141" si="56">IF(AN1113=12,I1113,0)</f>
        <v>0</v>
      </c>
      <c r="AL1113" s="34">
        <f t="shared" ref="AL1113:AL1141" si="57">IF(AN1113=21,I1113,0)</f>
        <v>0</v>
      </c>
      <c r="AN1113" s="34">
        <v>21</v>
      </c>
      <c r="AO1113" s="34">
        <f t="shared" si="44"/>
        <v>0</v>
      </c>
      <c r="AP1113" s="34">
        <f t="shared" si="45"/>
        <v>0</v>
      </c>
      <c r="AQ1113" s="65" t="s">
        <v>175</v>
      </c>
      <c r="AV1113" s="34">
        <f t="shared" ref="AV1113:AV1144" si="58">ROUND(AW1113+AX1113,2)</f>
        <v>0</v>
      </c>
      <c r="AW1113" s="34">
        <f t="shared" ref="AW1113:AW1141" si="59">ROUND(G1113*AO1113,2)</f>
        <v>0</v>
      </c>
      <c r="AX1113" s="34">
        <f t="shared" ref="AX1113:AX1141" si="60">ROUND(G1113*AP1113,2)</f>
        <v>0</v>
      </c>
      <c r="AY1113" s="65" t="s">
        <v>1964</v>
      </c>
      <c r="AZ1113" s="65" t="s">
        <v>1965</v>
      </c>
      <c r="BA1113" s="46" t="s">
        <v>1966</v>
      </c>
      <c r="BC1113" s="34">
        <f t="shared" ref="BC1113:BC1141" si="61">AW1113+AX1113</f>
        <v>0</v>
      </c>
      <c r="BD1113" s="34">
        <f t="shared" ref="BD1113:BD1144" si="62">H1113/(100-BE1113)*100</f>
        <v>0</v>
      </c>
      <c r="BE1113" s="34">
        <v>0</v>
      </c>
      <c r="BF1113" s="34">
        <f>1113</f>
        <v>1113</v>
      </c>
      <c r="BH1113" s="34">
        <f t="shared" ref="BH1113:BH1141" si="63">G1113*AO1113</f>
        <v>0</v>
      </c>
      <c r="BI1113" s="34">
        <f t="shared" ref="BI1113:BI1141" si="64">G1113*AP1113</f>
        <v>0</v>
      </c>
      <c r="BJ1113" s="34">
        <f t="shared" ref="BJ1113:BJ1141" si="65">G1113*H1113</f>
        <v>0</v>
      </c>
      <c r="BK1113" s="34"/>
      <c r="BL1113" s="34">
        <v>728</v>
      </c>
      <c r="BW1113" s="34">
        <v>21</v>
      </c>
      <c r="BX1113" s="3" t="s">
        <v>2050</v>
      </c>
    </row>
    <row r="1114" spans="1:76" ht="25.5" x14ac:dyDescent="0.25">
      <c r="A1114" s="1" t="s">
        <v>2051</v>
      </c>
      <c r="B1114" s="2" t="s">
        <v>87</v>
      </c>
      <c r="C1114" s="2" t="s">
        <v>2048</v>
      </c>
      <c r="D1114" s="86" t="s">
        <v>2052</v>
      </c>
      <c r="E1114" s="81"/>
      <c r="F1114" s="2" t="s">
        <v>258</v>
      </c>
      <c r="G1114" s="34">
        <v>4</v>
      </c>
      <c r="H1114" s="64">
        <v>0</v>
      </c>
      <c r="I1114" s="34">
        <f t="shared" si="46"/>
        <v>0</v>
      </c>
      <c r="J1114" s="65" t="s">
        <v>4</v>
      </c>
      <c r="K1114" s="59"/>
      <c r="Z1114" s="34">
        <f t="shared" si="47"/>
        <v>0</v>
      </c>
      <c r="AB1114" s="34">
        <f t="shared" si="48"/>
        <v>0</v>
      </c>
      <c r="AC1114" s="34">
        <f t="shared" si="49"/>
        <v>0</v>
      </c>
      <c r="AD1114" s="34">
        <f t="shared" si="50"/>
        <v>0</v>
      </c>
      <c r="AE1114" s="34">
        <f t="shared" si="51"/>
        <v>0</v>
      </c>
      <c r="AF1114" s="34">
        <f t="shared" si="52"/>
        <v>0</v>
      </c>
      <c r="AG1114" s="34">
        <f t="shared" si="53"/>
        <v>0</v>
      </c>
      <c r="AH1114" s="34">
        <f t="shared" si="54"/>
        <v>0</v>
      </c>
      <c r="AI1114" s="46" t="s">
        <v>87</v>
      </c>
      <c r="AJ1114" s="34">
        <f t="shared" si="55"/>
        <v>0</v>
      </c>
      <c r="AK1114" s="34">
        <f t="shared" si="56"/>
        <v>0</v>
      </c>
      <c r="AL1114" s="34">
        <f t="shared" si="57"/>
        <v>0</v>
      </c>
      <c r="AN1114" s="34">
        <v>21</v>
      </c>
      <c r="AO1114" s="34">
        <f t="shared" si="44"/>
        <v>0</v>
      </c>
      <c r="AP1114" s="34">
        <f t="shared" si="45"/>
        <v>0</v>
      </c>
      <c r="AQ1114" s="65" t="s">
        <v>175</v>
      </c>
      <c r="AV1114" s="34">
        <f t="shared" si="58"/>
        <v>0</v>
      </c>
      <c r="AW1114" s="34">
        <f t="shared" si="59"/>
        <v>0</v>
      </c>
      <c r="AX1114" s="34">
        <f t="shared" si="60"/>
        <v>0</v>
      </c>
      <c r="AY1114" s="65" t="s">
        <v>1964</v>
      </c>
      <c r="AZ1114" s="65" t="s">
        <v>1965</v>
      </c>
      <c r="BA1114" s="46" t="s">
        <v>1966</v>
      </c>
      <c r="BC1114" s="34">
        <f t="shared" si="61"/>
        <v>0</v>
      </c>
      <c r="BD1114" s="34">
        <f t="shared" si="62"/>
        <v>0</v>
      </c>
      <c r="BE1114" s="34">
        <v>0</v>
      </c>
      <c r="BF1114" s="34">
        <f>1114</f>
        <v>1114</v>
      </c>
      <c r="BH1114" s="34">
        <f t="shared" si="63"/>
        <v>0</v>
      </c>
      <c r="BI1114" s="34">
        <f t="shared" si="64"/>
        <v>0</v>
      </c>
      <c r="BJ1114" s="34">
        <f t="shared" si="65"/>
        <v>0</v>
      </c>
      <c r="BK1114" s="34"/>
      <c r="BL1114" s="34">
        <v>728</v>
      </c>
      <c r="BW1114" s="34">
        <v>21</v>
      </c>
      <c r="BX1114" s="3" t="s">
        <v>2052</v>
      </c>
    </row>
    <row r="1115" spans="1:76" ht="25.5" x14ac:dyDescent="0.25">
      <c r="A1115" s="1" t="s">
        <v>2053</v>
      </c>
      <c r="B1115" s="2" t="s">
        <v>87</v>
      </c>
      <c r="C1115" s="2" t="s">
        <v>2048</v>
      </c>
      <c r="D1115" s="86" t="s">
        <v>2054</v>
      </c>
      <c r="E1115" s="81"/>
      <c r="F1115" s="2" t="s">
        <v>258</v>
      </c>
      <c r="G1115" s="34">
        <v>5</v>
      </c>
      <c r="H1115" s="64">
        <v>0</v>
      </c>
      <c r="I1115" s="34">
        <f t="shared" si="46"/>
        <v>0</v>
      </c>
      <c r="J1115" s="65" t="s">
        <v>4</v>
      </c>
      <c r="K1115" s="59"/>
      <c r="Z1115" s="34">
        <f t="shared" si="47"/>
        <v>0</v>
      </c>
      <c r="AB1115" s="34">
        <f t="shared" si="48"/>
        <v>0</v>
      </c>
      <c r="AC1115" s="34">
        <f t="shared" si="49"/>
        <v>0</v>
      </c>
      <c r="AD1115" s="34">
        <f t="shared" si="50"/>
        <v>0</v>
      </c>
      <c r="AE1115" s="34">
        <f t="shared" si="51"/>
        <v>0</v>
      </c>
      <c r="AF1115" s="34">
        <f t="shared" si="52"/>
        <v>0</v>
      </c>
      <c r="AG1115" s="34">
        <f t="shared" si="53"/>
        <v>0</v>
      </c>
      <c r="AH1115" s="34">
        <f t="shared" si="54"/>
        <v>0</v>
      </c>
      <c r="AI1115" s="46" t="s">
        <v>87</v>
      </c>
      <c r="AJ1115" s="34">
        <f t="shared" si="55"/>
        <v>0</v>
      </c>
      <c r="AK1115" s="34">
        <f t="shared" si="56"/>
        <v>0</v>
      </c>
      <c r="AL1115" s="34">
        <f t="shared" si="57"/>
        <v>0</v>
      </c>
      <c r="AN1115" s="34">
        <v>21</v>
      </c>
      <c r="AO1115" s="34">
        <f t="shared" si="44"/>
        <v>0</v>
      </c>
      <c r="AP1115" s="34">
        <f t="shared" si="45"/>
        <v>0</v>
      </c>
      <c r="AQ1115" s="65" t="s">
        <v>175</v>
      </c>
      <c r="AV1115" s="34">
        <f t="shared" si="58"/>
        <v>0</v>
      </c>
      <c r="AW1115" s="34">
        <f t="shared" si="59"/>
        <v>0</v>
      </c>
      <c r="AX1115" s="34">
        <f t="shared" si="60"/>
        <v>0</v>
      </c>
      <c r="AY1115" s="65" t="s">
        <v>1964</v>
      </c>
      <c r="AZ1115" s="65" t="s">
        <v>1965</v>
      </c>
      <c r="BA1115" s="46" t="s">
        <v>1966</v>
      </c>
      <c r="BC1115" s="34">
        <f t="shared" si="61"/>
        <v>0</v>
      </c>
      <c r="BD1115" s="34">
        <f t="shared" si="62"/>
        <v>0</v>
      </c>
      <c r="BE1115" s="34">
        <v>0</v>
      </c>
      <c r="BF1115" s="34">
        <f>1115</f>
        <v>1115</v>
      </c>
      <c r="BH1115" s="34">
        <f t="shared" si="63"/>
        <v>0</v>
      </c>
      <c r="BI1115" s="34">
        <f t="shared" si="64"/>
        <v>0</v>
      </c>
      <c r="BJ1115" s="34">
        <f t="shared" si="65"/>
        <v>0</v>
      </c>
      <c r="BK1115" s="34"/>
      <c r="BL1115" s="34">
        <v>728</v>
      </c>
      <c r="BW1115" s="34">
        <v>21</v>
      </c>
      <c r="BX1115" s="3" t="s">
        <v>2054</v>
      </c>
    </row>
    <row r="1116" spans="1:76" ht="25.5" x14ac:dyDescent="0.25">
      <c r="A1116" s="1" t="s">
        <v>2055</v>
      </c>
      <c r="B1116" s="2" t="s">
        <v>87</v>
      </c>
      <c r="C1116" s="2" t="s">
        <v>2048</v>
      </c>
      <c r="D1116" s="86" t="s">
        <v>2056</v>
      </c>
      <c r="E1116" s="81"/>
      <c r="F1116" s="2" t="s">
        <v>258</v>
      </c>
      <c r="G1116" s="34">
        <v>2</v>
      </c>
      <c r="H1116" s="64">
        <v>0</v>
      </c>
      <c r="I1116" s="34">
        <f t="shared" si="46"/>
        <v>0</v>
      </c>
      <c r="J1116" s="65" t="s">
        <v>4</v>
      </c>
      <c r="K1116" s="59"/>
      <c r="Z1116" s="34">
        <f t="shared" si="47"/>
        <v>0</v>
      </c>
      <c r="AB1116" s="34">
        <f t="shared" si="48"/>
        <v>0</v>
      </c>
      <c r="AC1116" s="34">
        <f t="shared" si="49"/>
        <v>0</v>
      </c>
      <c r="AD1116" s="34">
        <f t="shared" si="50"/>
        <v>0</v>
      </c>
      <c r="AE1116" s="34">
        <f t="shared" si="51"/>
        <v>0</v>
      </c>
      <c r="AF1116" s="34">
        <f t="shared" si="52"/>
        <v>0</v>
      </c>
      <c r="AG1116" s="34">
        <f t="shared" si="53"/>
        <v>0</v>
      </c>
      <c r="AH1116" s="34">
        <f t="shared" si="54"/>
        <v>0</v>
      </c>
      <c r="AI1116" s="46" t="s">
        <v>87</v>
      </c>
      <c r="AJ1116" s="34">
        <f t="shared" si="55"/>
        <v>0</v>
      </c>
      <c r="AK1116" s="34">
        <f t="shared" si="56"/>
        <v>0</v>
      </c>
      <c r="AL1116" s="34">
        <f t="shared" si="57"/>
        <v>0</v>
      </c>
      <c r="AN1116" s="34">
        <v>21</v>
      </c>
      <c r="AO1116" s="34">
        <f t="shared" si="44"/>
        <v>0</v>
      </c>
      <c r="AP1116" s="34">
        <f t="shared" si="45"/>
        <v>0</v>
      </c>
      <c r="AQ1116" s="65" t="s">
        <v>175</v>
      </c>
      <c r="AV1116" s="34">
        <f t="shared" si="58"/>
        <v>0</v>
      </c>
      <c r="AW1116" s="34">
        <f t="shared" si="59"/>
        <v>0</v>
      </c>
      <c r="AX1116" s="34">
        <f t="shared" si="60"/>
        <v>0</v>
      </c>
      <c r="AY1116" s="65" t="s">
        <v>1964</v>
      </c>
      <c r="AZ1116" s="65" t="s">
        <v>1965</v>
      </c>
      <c r="BA1116" s="46" t="s">
        <v>1966</v>
      </c>
      <c r="BC1116" s="34">
        <f t="shared" si="61"/>
        <v>0</v>
      </c>
      <c r="BD1116" s="34">
        <f t="shared" si="62"/>
        <v>0</v>
      </c>
      <c r="BE1116" s="34">
        <v>0</v>
      </c>
      <c r="BF1116" s="34">
        <f>1116</f>
        <v>1116</v>
      </c>
      <c r="BH1116" s="34">
        <f t="shared" si="63"/>
        <v>0</v>
      </c>
      <c r="BI1116" s="34">
        <f t="shared" si="64"/>
        <v>0</v>
      </c>
      <c r="BJ1116" s="34">
        <f t="shared" si="65"/>
        <v>0</v>
      </c>
      <c r="BK1116" s="34"/>
      <c r="BL1116" s="34">
        <v>728</v>
      </c>
      <c r="BW1116" s="34">
        <v>21</v>
      </c>
      <c r="BX1116" s="3" t="s">
        <v>2056</v>
      </c>
    </row>
    <row r="1117" spans="1:76" ht="25.5" x14ac:dyDescent="0.25">
      <c r="A1117" s="1" t="s">
        <v>2057</v>
      </c>
      <c r="B1117" s="2" t="s">
        <v>87</v>
      </c>
      <c r="C1117" s="2" t="s">
        <v>2048</v>
      </c>
      <c r="D1117" s="86" t="s">
        <v>2058</v>
      </c>
      <c r="E1117" s="81"/>
      <c r="F1117" s="2" t="s">
        <v>258</v>
      </c>
      <c r="G1117" s="34">
        <v>2</v>
      </c>
      <c r="H1117" s="64">
        <v>0</v>
      </c>
      <c r="I1117" s="34">
        <f t="shared" si="46"/>
        <v>0</v>
      </c>
      <c r="J1117" s="65" t="s">
        <v>4</v>
      </c>
      <c r="K1117" s="59"/>
      <c r="Z1117" s="34">
        <f t="shared" si="47"/>
        <v>0</v>
      </c>
      <c r="AB1117" s="34">
        <f t="shared" si="48"/>
        <v>0</v>
      </c>
      <c r="AC1117" s="34">
        <f t="shared" si="49"/>
        <v>0</v>
      </c>
      <c r="AD1117" s="34">
        <f t="shared" si="50"/>
        <v>0</v>
      </c>
      <c r="AE1117" s="34">
        <f t="shared" si="51"/>
        <v>0</v>
      </c>
      <c r="AF1117" s="34">
        <f t="shared" si="52"/>
        <v>0</v>
      </c>
      <c r="AG1117" s="34">
        <f t="shared" si="53"/>
        <v>0</v>
      </c>
      <c r="AH1117" s="34">
        <f t="shared" si="54"/>
        <v>0</v>
      </c>
      <c r="AI1117" s="46" t="s">
        <v>87</v>
      </c>
      <c r="AJ1117" s="34">
        <f t="shared" si="55"/>
        <v>0</v>
      </c>
      <c r="AK1117" s="34">
        <f t="shared" si="56"/>
        <v>0</v>
      </c>
      <c r="AL1117" s="34">
        <f t="shared" si="57"/>
        <v>0</v>
      </c>
      <c r="AN1117" s="34">
        <v>21</v>
      </c>
      <c r="AO1117" s="34">
        <f t="shared" si="44"/>
        <v>0</v>
      </c>
      <c r="AP1117" s="34">
        <f t="shared" si="45"/>
        <v>0</v>
      </c>
      <c r="AQ1117" s="65" t="s">
        <v>175</v>
      </c>
      <c r="AV1117" s="34">
        <f t="shared" si="58"/>
        <v>0</v>
      </c>
      <c r="AW1117" s="34">
        <f t="shared" si="59"/>
        <v>0</v>
      </c>
      <c r="AX1117" s="34">
        <f t="shared" si="60"/>
        <v>0</v>
      </c>
      <c r="AY1117" s="65" t="s">
        <v>1964</v>
      </c>
      <c r="AZ1117" s="65" t="s">
        <v>1965</v>
      </c>
      <c r="BA1117" s="46" t="s">
        <v>1966</v>
      </c>
      <c r="BC1117" s="34">
        <f t="shared" si="61"/>
        <v>0</v>
      </c>
      <c r="BD1117" s="34">
        <f t="shared" si="62"/>
        <v>0</v>
      </c>
      <c r="BE1117" s="34">
        <v>0</v>
      </c>
      <c r="BF1117" s="34">
        <f>1117</f>
        <v>1117</v>
      </c>
      <c r="BH1117" s="34">
        <f t="shared" si="63"/>
        <v>0</v>
      </c>
      <c r="BI1117" s="34">
        <f t="shared" si="64"/>
        <v>0</v>
      </c>
      <c r="BJ1117" s="34">
        <f t="shared" si="65"/>
        <v>0</v>
      </c>
      <c r="BK1117" s="34"/>
      <c r="BL1117" s="34">
        <v>728</v>
      </c>
      <c r="BW1117" s="34">
        <v>21</v>
      </c>
      <c r="BX1117" s="3" t="s">
        <v>2058</v>
      </c>
    </row>
    <row r="1118" spans="1:76" ht="25.5" x14ac:dyDescent="0.25">
      <c r="A1118" s="1" t="s">
        <v>2059</v>
      </c>
      <c r="B1118" s="2" t="s">
        <v>87</v>
      </c>
      <c r="C1118" s="2" t="s">
        <v>2048</v>
      </c>
      <c r="D1118" s="86" t="s">
        <v>2060</v>
      </c>
      <c r="E1118" s="81"/>
      <c r="F1118" s="2" t="s">
        <v>258</v>
      </c>
      <c r="G1118" s="34">
        <v>2</v>
      </c>
      <c r="H1118" s="64">
        <v>0</v>
      </c>
      <c r="I1118" s="34">
        <f t="shared" si="46"/>
        <v>0</v>
      </c>
      <c r="J1118" s="65" t="s">
        <v>4</v>
      </c>
      <c r="K1118" s="59"/>
      <c r="Z1118" s="34">
        <f t="shared" si="47"/>
        <v>0</v>
      </c>
      <c r="AB1118" s="34">
        <f t="shared" si="48"/>
        <v>0</v>
      </c>
      <c r="AC1118" s="34">
        <f t="shared" si="49"/>
        <v>0</v>
      </c>
      <c r="AD1118" s="34">
        <f t="shared" si="50"/>
        <v>0</v>
      </c>
      <c r="AE1118" s="34">
        <f t="shared" si="51"/>
        <v>0</v>
      </c>
      <c r="AF1118" s="34">
        <f t="shared" si="52"/>
        <v>0</v>
      </c>
      <c r="AG1118" s="34">
        <f t="shared" si="53"/>
        <v>0</v>
      </c>
      <c r="AH1118" s="34">
        <f t="shared" si="54"/>
        <v>0</v>
      </c>
      <c r="AI1118" s="46" t="s">
        <v>87</v>
      </c>
      <c r="AJ1118" s="34">
        <f t="shared" si="55"/>
        <v>0</v>
      </c>
      <c r="AK1118" s="34">
        <f t="shared" si="56"/>
        <v>0</v>
      </c>
      <c r="AL1118" s="34">
        <f t="shared" si="57"/>
        <v>0</v>
      </c>
      <c r="AN1118" s="34">
        <v>21</v>
      </c>
      <c r="AO1118" s="34">
        <f t="shared" si="44"/>
        <v>0</v>
      </c>
      <c r="AP1118" s="34">
        <f t="shared" si="45"/>
        <v>0</v>
      </c>
      <c r="AQ1118" s="65" t="s">
        <v>175</v>
      </c>
      <c r="AV1118" s="34">
        <f t="shared" si="58"/>
        <v>0</v>
      </c>
      <c r="AW1118" s="34">
        <f t="shared" si="59"/>
        <v>0</v>
      </c>
      <c r="AX1118" s="34">
        <f t="shared" si="60"/>
        <v>0</v>
      </c>
      <c r="AY1118" s="65" t="s">
        <v>1964</v>
      </c>
      <c r="AZ1118" s="65" t="s">
        <v>1965</v>
      </c>
      <c r="BA1118" s="46" t="s">
        <v>1966</v>
      </c>
      <c r="BC1118" s="34">
        <f t="shared" si="61"/>
        <v>0</v>
      </c>
      <c r="BD1118" s="34">
        <f t="shared" si="62"/>
        <v>0</v>
      </c>
      <c r="BE1118" s="34">
        <v>0</v>
      </c>
      <c r="BF1118" s="34">
        <f>1118</f>
        <v>1118</v>
      </c>
      <c r="BH1118" s="34">
        <f t="shared" si="63"/>
        <v>0</v>
      </c>
      <c r="BI1118" s="34">
        <f t="shared" si="64"/>
        <v>0</v>
      </c>
      <c r="BJ1118" s="34">
        <f t="shared" si="65"/>
        <v>0</v>
      </c>
      <c r="BK1118" s="34"/>
      <c r="BL1118" s="34">
        <v>728</v>
      </c>
      <c r="BW1118" s="34">
        <v>21</v>
      </c>
      <c r="BX1118" s="3" t="s">
        <v>2060</v>
      </c>
    </row>
    <row r="1119" spans="1:76" ht="25.5" x14ac:dyDescent="0.25">
      <c r="A1119" s="1" t="s">
        <v>2061</v>
      </c>
      <c r="B1119" s="2" t="s">
        <v>87</v>
      </c>
      <c r="C1119" s="2" t="s">
        <v>2062</v>
      </c>
      <c r="D1119" s="86" t="s">
        <v>2063</v>
      </c>
      <c r="E1119" s="81"/>
      <c r="F1119" s="2" t="s">
        <v>258</v>
      </c>
      <c r="G1119" s="34">
        <v>1</v>
      </c>
      <c r="H1119" s="64">
        <v>0</v>
      </c>
      <c r="I1119" s="34">
        <f t="shared" si="46"/>
        <v>0</v>
      </c>
      <c r="J1119" s="65" t="s">
        <v>4</v>
      </c>
      <c r="K1119" s="59"/>
      <c r="Z1119" s="34">
        <f t="shared" si="47"/>
        <v>0</v>
      </c>
      <c r="AB1119" s="34">
        <f t="shared" si="48"/>
        <v>0</v>
      </c>
      <c r="AC1119" s="34">
        <f t="shared" si="49"/>
        <v>0</v>
      </c>
      <c r="AD1119" s="34">
        <f t="shared" si="50"/>
        <v>0</v>
      </c>
      <c r="AE1119" s="34">
        <f t="shared" si="51"/>
        <v>0</v>
      </c>
      <c r="AF1119" s="34">
        <f t="shared" si="52"/>
        <v>0</v>
      </c>
      <c r="AG1119" s="34">
        <f t="shared" si="53"/>
        <v>0</v>
      </c>
      <c r="AH1119" s="34">
        <f t="shared" si="54"/>
        <v>0</v>
      </c>
      <c r="AI1119" s="46" t="s">
        <v>87</v>
      </c>
      <c r="AJ1119" s="34">
        <f t="shared" si="55"/>
        <v>0</v>
      </c>
      <c r="AK1119" s="34">
        <f t="shared" si="56"/>
        <v>0</v>
      </c>
      <c r="AL1119" s="34">
        <f t="shared" si="57"/>
        <v>0</v>
      </c>
      <c r="AN1119" s="34">
        <v>21</v>
      </c>
      <c r="AO1119" s="34">
        <f t="shared" si="44"/>
        <v>0</v>
      </c>
      <c r="AP1119" s="34">
        <f t="shared" si="45"/>
        <v>0</v>
      </c>
      <c r="AQ1119" s="65" t="s">
        <v>175</v>
      </c>
      <c r="AV1119" s="34">
        <f t="shared" si="58"/>
        <v>0</v>
      </c>
      <c r="AW1119" s="34">
        <f t="shared" si="59"/>
        <v>0</v>
      </c>
      <c r="AX1119" s="34">
        <f t="shared" si="60"/>
        <v>0</v>
      </c>
      <c r="AY1119" s="65" t="s">
        <v>1964</v>
      </c>
      <c r="AZ1119" s="65" t="s">
        <v>1965</v>
      </c>
      <c r="BA1119" s="46" t="s">
        <v>1966</v>
      </c>
      <c r="BC1119" s="34">
        <f t="shared" si="61"/>
        <v>0</v>
      </c>
      <c r="BD1119" s="34">
        <f t="shared" si="62"/>
        <v>0</v>
      </c>
      <c r="BE1119" s="34">
        <v>0</v>
      </c>
      <c r="BF1119" s="34">
        <f>1119</f>
        <v>1119</v>
      </c>
      <c r="BH1119" s="34">
        <f t="shared" si="63"/>
        <v>0</v>
      </c>
      <c r="BI1119" s="34">
        <f t="shared" si="64"/>
        <v>0</v>
      </c>
      <c r="BJ1119" s="34">
        <f t="shared" si="65"/>
        <v>0</v>
      </c>
      <c r="BK1119" s="34"/>
      <c r="BL1119" s="34">
        <v>728</v>
      </c>
      <c r="BW1119" s="34">
        <v>21</v>
      </c>
      <c r="BX1119" s="3" t="s">
        <v>2063</v>
      </c>
    </row>
    <row r="1120" spans="1:76" ht="25.5" x14ac:dyDescent="0.25">
      <c r="A1120" s="1" t="s">
        <v>2064</v>
      </c>
      <c r="B1120" s="2" t="s">
        <v>87</v>
      </c>
      <c r="C1120" s="2" t="s">
        <v>2015</v>
      </c>
      <c r="D1120" s="86" t="s">
        <v>2065</v>
      </c>
      <c r="E1120" s="81"/>
      <c r="F1120" s="2" t="s">
        <v>258</v>
      </c>
      <c r="G1120" s="34">
        <v>1</v>
      </c>
      <c r="H1120" s="64">
        <v>0</v>
      </c>
      <c r="I1120" s="34">
        <f t="shared" si="46"/>
        <v>0</v>
      </c>
      <c r="J1120" s="65" t="s">
        <v>4</v>
      </c>
      <c r="K1120" s="59"/>
      <c r="Z1120" s="34">
        <f t="shared" si="47"/>
        <v>0</v>
      </c>
      <c r="AB1120" s="34">
        <f t="shared" si="48"/>
        <v>0</v>
      </c>
      <c r="AC1120" s="34">
        <f t="shared" si="49"/>
        <v>0</v>
      </c>
      <c r="AD1120" s="34">
        <f t="shared" si="50"/>
        <v>0</v>
      </c>
      <c r="AE1120" s="34">
        <f t="shared" si="51"/>
        <v>0</v>
      </c>
      <c r="AF1120" s="34">
        <f t="shared" si="52"/>
        <v>0</v>
      </c>
      <c r="AG1120" s="34">
        <f t="shared" si="53"/>
        <v>0</v>
      </c>
      <c r="AH1120" s="34">
        <f t="shared" si="54"/>
        <v>0</v>
      </c>
      <c r="AI1120" s="46" t="s">
        <v>87</v>
      </c>
      <c r="AJ1120" s="34">
        <f t="shared" si="55"/>
        <v>0</v>
      </c>
      <c r="AK1120" s="34">
        <f t="shared" si="56"/>
        <v>0</v>
      </c>
      <c r="AL1120" s="34">
        <f t="shared" si="57"/>
        <v>0</v>
      </c>
      <c r="AN1120" s="34">
        <v>21</v>
      </c>
      <c r="AO1120" s="34">
        <f t="shared" si="44"/>
        <v>0</v>
      </c>
      <c r="AP1120" s="34">
        <f t="shared" si="45"/>
        <v>0</v>
      </c>
      <c r="AQ1120" s="65" t="s">
        <v>175</v>
      </c>
      <c r="AV1120" s="34">
        <f t="shared" si="58"/>
        <v>0</v>
      </c>
      <c r="AW1120" s="34">
        <f t="shared" si="59"/>
        <v>0</v>
      </c>
      <c r="AX1120" s="34">
        <f t="shared" si="60"/>
        <v>0</v>
      </c>
      <c r="AY1120" s="65" t="s">
        <v>1964</v>
      </c>
      <c r="AZ1120" s="65" t="s">
        <v>1965</v>
      </c>
      <c r="BA1120" s="46" t="s">
        <v>1966</v>
      </c>
      <c r="BC1120" s="34">
        <f t="shared" si="61"/>
        <v>0</v>
      </c>
      <c r="BD1120" s="34">
        <f t="shared" si="62"/>
        <v>0</v>
      </c>
      <c r="BE1120" s="34">
        <v>0</v>
      </c>
      <c r="BF1120" s="34">
        <f>1120</f>
        <v>1120</v>
      </c>
      <c r="BH1120" s="34">
        <f t="shared" si="63"/>
        <v>0</v>
      </c>
      <c r="BI1120" s="34">
        <f t="shared" si="64"/>
        <v>0</v>
      </c>
      <c r="BJ1120" s="34">
        <f t="shared" si="65"/>
        <v>0</v>
      </c>
      <c r="BK1120" s="34"/>
      <c r="BL1120" s="34">
        <v>728</v>
      </c>
      <c r="BW1120" s="34">
        <v>21</v>
      </c>
      <c r="BX1120" s="3" t="s">
        <v>2065</v>
      </c>
    </row>
    <row r="1121" spans="1:76" ht="25.5" x14ac:dyDescent="0.25">
      <c r="A1121" s="1" t="s">
        <v>2066</v>
      </c>
      <c r="B1121" s="2" t="s">
        <v>87</v>
      </c>
      <c r="C1121" s="2" t="s">
        <v>2067</v>
      </c>
      <c r="D1121" s="86" t="s">
        <v>2068</v>
      </c>
      <c r="E1121" s="81"/>
      <c r="F1121" s="2" t="s">
        <v>258</v>
      </c>
      <c r="G1121" s="34">
        <v>1</v>
      </c>
      <c r="H1121" s="64">
        <v>0</v>
      </c>
      <c r="I1121" s="34">
        <f t="shared" si="46"/>
        <v>0</v>
      </c>
      <c r="J1121" s="65" t="s">
        <v>4</v>
      </c>
      <c r="K1121" s="59"/>
      <c r="Z1121" s="34">
        <f t="shared" si="47"/>
        <v>0</v>
      </c>
      <c r="AB1121" s="34">
        <f t="shared" si="48"/>
        <v>0</v>
      </c>
      <c r="AC1121" s="34">
        <f t="shared" si="49"/>
        <v>0</v>
      </c>
      <c r="AD1121" s="34">
        <f t="shared" si="50"/>
        <v>0</v>
      </c>
      <c r="AE1121" s="34">
        <f t="shared" si="51"/>
        <v>0</v>
      </c>
      <c r="AF1121" s="34">
        <f t="shared" si="52"/>
        <v>0</v>
      </c>
      <c r="AG1121" s="34">
        <f t="shared" si="53"/>
        <v>0</v>
      </c>
      <c r="AH1121" s="34">
        <f t="shared" si="54"/>
        <v>0</v>
      </c>
      <c r="AI1121" s="46" t="s">
        <v>87</v>
      </c>
      <c r="AJ1121" s="34">
        <f t="shared" si="55"/>
        <v>0</v>
      </c>
      <c r="AK1121" s="34">
        <f t="shared" si="56"/>
        <v>0</v>
      </c>
      <c r="AL1121" s="34">
        <f t="shared" si="57"/>
        <v>0</v>
      </c>
      <c r="AN1121" s="34">
        <v>21</v>
      </c>
      <c r="AO1121" s="34">
        <f t="shared" si="44"/>
        <v>0</v>
      </c>
      <c r="AP1121" s="34">
        <f t="shared" si="45"/>
        <v>0</v>
      </c>
      <c r="AQ1121" s="65" t="s">
        <v>175</v>
      </c>
      <c r="AV1121" s="34">
        <f t="shared" si="58"/>
        <v>0</v>
      </c>
      <c r="AW1121" s="34">
        <f t="shared" si="59"/>
        <v>0</v>
      </c>
      <c r="AX1121" s="34">
        <f t="shared" si="60"/>
        <v>0</v>
      </c>
      <c r="AY1121" s="65" t="s">
        <v>1964</v>
      </c>
      <c r="AZ1121" s="65" t="s">
        <v>1965</v>
      </c>
      <c r="BA1121" s="46" t="s">
        <v>1966</v>
      </c>
      <c r="BC1121" s="34">
        <f t="shared" si="61"/>
        <v>0</v>
      </c>
      <c r="BD1121" s="34">
        <f t="shared" si="62"/>
        <v>0</v>
      </c>
      <c r="BE1121" s="34">
        <v>0</v>
      </c>
      <c r="BF1121" s="34">
        <f>1121</f>
        <v>1121</v>
      </c>
      <c r="BH1121" s="34">
        <f t="shared" si="63"/>
        <v>0</v>
      </c>
      <c r="BI1121" s="34">
        <f t="shared" si="64"/>
        <v>0</v>
      </c>
      <c r="BJ1121" s="34">
        <f t="shared" si="65"/>
        <v>0</v>
      </c>
      <c r="BK1121" s="34"/>
      <c r="BL1121" s="34">
        <v>728</v>
      </c>
      <c r="BW1121" s="34">
        <v>21</v>
      </c>
      <c r="BX1121" s="3" t="s">
        <v>2068</v>
      </c>
    </row>
    <row r="1122" spans="1:76" x14ac:dyDescent="0.25">
      <c r="A1122" s="1" t="s">
        <v>2069</v>
      </c>
      <c r="B1122" s="2" t="s">
        <v>87</v>
      </c>
      <c r="C1122" s="2" t="s">
        <v>2070</v>
      </c>
      <c r="D1122" s="86" t="s">
        <v>2071</v>
      </c>
      <c r="E1122" s="81"/>
      <c r="F1122" s="2" t="s">
        <v>258</v>
      </c>
      <c r="G1122" s="34">
        <v>2</v>
      </c>
      <c r="H1122" s="64">
        <v>0</v>
      </c>
      <c r="I1122" s="34">
        <f t="shared" si="46"/>
        <v>0</v>
      </c>
      <c r="J1122" s="65" t="s">
        <v>4</v>
      </c>
      <c r="K1122" s="59"/>
      <c r="Z1122" s="34">
        <f t="shared" si="47"/>
        <v>0</v>
      </c>
      <c r="AB1122" s="34">
        <f t="shared" si="48"/>
        <v>0</v>
      </c>
      <c r="AC1122" s="34">
        <f t="shared" si="49"/>
        <v>0</v>
      </c>
      <c r="AD1122" s="34">
        <f t="shared" si="50"/>
        <v>0</v>
      </c>
      <c r="AE1122" s="34">
        <f t="shared" si="51"/>
        <v>0</v>
      </c>
      <c r="AF1122" s="34">
        <f t="shared" si="52"/>
        <v>0</v>
      </c>
      <c r="AG1122" s="34">
        <f t="shared" si="53"/>
        <v>0</v>
      </c>
      <c r="AH1122" s="34">
        <f t="shared" si="54"/>
        <v>0</v>
      </c>
      <c r="AI1122" s="46" t="s">
        <v>87</v>
      </c>
      <c r="AJ1122" s="34">
        <f t="shared" si="55"/>
        <v>0</v>
      </c>
      <c r="AK1122" s="34">
        <f t="shared" si="56"/>
        <v>0</v>
      </c>
      <c r="AL1122" s="34">
        <f t="shared" si="57"/>
        <v>0</v>
      </c>
      <c r="AN1122" s="34">
        <v>21</v>
      </c>
      <c r="AO1122" s="34">
        <f t="shared" si="44"/>
        <v>0</v>
      </c>
      <c r="AP1122" s="34">
        <f t="shared" si="45"/>
        <v>0</v>
      </c>
      <c r="AQ1122" s="65" t="s">
        <v>175</v>
      </c>
      <c r="AV1122" s="34">
        <f t="shared" si="58"/>
        <v>0</v>
      </c>
      <c r="AW1122" s="34">
        <f t="shared" si="59"/>
        <v>0</v>
      </c>
      <c r="AX1122" s="34">
        <f t="shared" si="60"/>
        <v>0</v>
      </c>
      <c r="AY1122" s="65" t="s">
        <v>1964</v>
      </c>
      <c r="AZ1122" s="65" t="s">
        <v>1965</v>
      </c>
      <c r="BA1122" s="46" t="s">
        <v>1966</v>
      </c>
      <c r="BC1122" s="34">
        <f t="shared" si="61"/>
        <v>0</v>
      </c>
      <c r="BD1122" s="34">
        <f t="shared" si="62"/>
        <v>0</v>
      </c>
      <c r="BE1122" s="34">
        <v>0</v>
      </c>
      <c r="BF1122" s="34">
        <f>1122</f>
        <v>1122</v>
      </c>
      <c r="BH1122" s="34">
        <f t="shared" si="63"/>
        <v>0</v>
      </c>
      <c r="BI1122" s="34">
        <f t="shared" si="64"/>
        <v>0</v>
      </c>
      <c r="BJ1122" s="34">
        <f t="shared" si="65"/>
        <v>0</v>
      </c>
      <c r="BK1122" s="34"/>
      <c r="BL1122" s="34">
        <v>728</v>
      </c>
      <c r="BW1122" s="34">
        <v>21</v>
      </c>
      <c r="BX1122" s="3" t="s">
        <v>2071</v>
      </c>
    </row>
    <row r="1123" spans="1:76" x14ac:dyDescent="0.25">
      <c r="A1123" s="1" t="s">
        <v>2072</v>
      </c>
      <c r="B1123" s="2" t="s">
        <v>87</v>
      </c>
      <c r="C1123" s="2" t="s">
        <v>1968</v>
      </c>
      <c r="D1123" s="86" t="s">
        <v>2073</v>
      </c>
      <c r="E1123" s="81"/>
      <c r="F1123" s="2" t="s">
        <v>258</v>
      </c>
      <c r="G1123" s="34">
        <v>1</v>
      </c>
      <c r="H1123" s="64">
        <v>0</v>
      </c>
      <c r="I1123" s="34">
        <f t="shared" si="46"/>
        <v>0</v>
      </c>
      <c r="J1123" s="65" t="s">
        <v>4</v>
      </c>
      <c r="K1123" s="59"/>
      <c r="Z1123" s="34">
        <f t="shared" si="47"/>
        <v>0</v>
      </c>
      <c r="AB1123" s="34">
        <f t="shared" si="48"/>
        <v>0</v>
      </c>
      <c r="AC1123" s="34">
        <f t="shared" si="49"/>
        <v>0</v>
      </c>
      <c r="AD1123" s="34">
        <f t="shared" si="50"/>
        <v>0</v>
      </c>
      <c r="AE1123" s="34">
        <f t="shared" si="51"/>
        <v>0</v>
      </c>
      <c r="AF1123" s="34">
        <f t="shared" si="52"/>
        <v>0</v>
      </c>
      <c r="AG1123" s="34">
        <f t="shared" si="53"/>
        <v>0</v>
      </c>
      <c r="AH1123" s="34">
        <f t="shared" si="54"/>
        <v>0</v>
      </c>
      <c r="AI1123" s="46" t="s">
        <v>87</v>
      </c>
      <c r="AJ1123" s="34">
        <f t="shared" si="55"/>
        <v>0</v>
      </c>
      <c r="AK1123" s="34">
        <f t="shared" si="56"/>
        <v>0</v>
      </c>
      <c r="AL1123" s="34">
        <f t="shared" si="57"/>
        <v>0</v>
      </c>
      <c r="AN1123" s="34">
        <v>21</v>
      </c>
      <c r="AO1123" s="34">
        <f>H1123*1</f>
        <v>0</v>
      </c>
      <c r="AP1123" s="34">
        <f>H1123*(1-1)</f>
        <v>0</v>
      </c>
      <c r="AQ1123" s="65" t="s">
        <v>175</v>
      </c>
      <c r="AV1123" s="34">
        <f t="shared" si="58"/>
        <v>0</v>
      </c>
      <c r="AW1123" s="34">
        <f t="shared" si="59"/>
        <v>0</v>
      </c>
      <c r="AX1123" s="34">
        <f t="shared" si="60"/>
        <v>0</v>
      </c>
      <c r="AY1123" s="65" t="s">
        <v>1964</v>
      </c>
      <c r="AZ1123" s="65" t="s">
        <v>1965</v>
      </c>
      <c r="BA1123" s="46" t="s">
        <v>1966</v>
      </c>
      <c r="BC1123" s="34">
        <f t="shared" si="61"/>
        <v>0</v>
      </c>
      <c r="BD1123" s="34">
        <f t="shared" si="62"/>
        <v>0</v>
      </c>
      <c r="BE1123" s="34">
        <v>0</v>
      </c>
      <c r="BF1123" s="34">
        <f>1123</f>
        <v>1123</v>
      </c>
      <c r="BH1123" s="34">
        <f t="shared" si="63"/>
        <v>0</v>
      </c>
      <c r="BI1123" s="34">
        <f t="shared" si="64"/>
        <v>0</v>
      </c>
      <c r="BJ1123" s="34">
        <f t="shared" si="65"/>
        <v>0</v>
      </c>
      <c r="BK1123" s="34"/>
      <c r="BL1123" s="34">
        <v>728</v>
      </c>
      <c r="BW1123" s="34">
        <v>21</v>
      </c>
      <c r="BX1123" s="3" t="s">
        <v>2073</v>
      </c>
    </row>
    <row r="1124" spans="1:76" x14ac:dyDescent="0.25">
      <c r="A1124" s="1" t="s">
        <v>2074</v>
      </c>
      <c r="B1124" s="2" t="s">
        <v>87</v>
      </c>
      <c r="C1124" s="2" t="s">
        <v>1968</v>
      </c>
      <c r="D1124" s="86" t="s">
        <v>2075</v>
      </c>
      <c r="E1124" s="81"/>
      <c r="F1124" s="2" t="s">
        <v>258</v>
      </c>
      <c r="G1124" s="34">
        <v>1</v>
      </c>
      <c r="H1124" s="64">
        <v>0</v>
      </c>
      <c r="I1124" s="34">
        <f t="shared" si="46"/>
        <v>0</v>
      </c>
      <c r="J1124" s="65" t="s">
        <v>4</v>
      </c>
      <c r="K1124" s="59"/>
      <c r="Z1124" s="34">
        <f t="shared" si="47"/>
        <v>0</v>
      </c>
      <c r="AB1124" s="34">
        <f t="shared" si="48"/>
        <v>0</v>
      </c>
      <c r="AC1124" s="34">
        <f t="shared" si="49"/>
        <v>0</v>
      </c>
      <c r="AD1124" s="34">
        <f t="shared" si="50"/>
        <v>0</v>
      </c>
      <c r="AE1124" s="34">
        <f t="shared" si="51"/>
        <v>0</v>
      </c>
      <c r="AF1124" s="34">
        <f t="shared" si="52"/>
        <v>0</v>
      </c>
      <c r="AG1124" s="34">
        <f t="shared" si="53"/>
        <v>0</v>
      </c>
      <c r="AH1124" s="34">
        <f t="shared" si="54"/>
        <v>0</v>
      </c>
      <c r="AI1124" s="46" t="s">
        <v>87</v>
      </c>
      <c r="AJ1124" s="34">
        <f t="shared" si="55"/>
        <v>0</v>
      </c>
      <c r="AK1124" s="34">
        <f t="shared" si="56"/>
        <v>0</v>
      </c>
      <c r="AL1124" s="34">
        <f t="shared" si="57"/>
        <v>0</v>
      </c>
      <c r="AN1124" s="34">
        <v>21</v>
      </c>
      <c r="AO1124" s="34">
        <f>H1124*1</f>
        <v>0</v>
      </c>
      <c r="AP1124" s="34">
        <f>H1124*(1-1)</f>
        <v>0</v>
      </c>
      <c r="AQ1124" s="65" t="s">
        <v>175</v>
      </c>
      <c r="AV1124" s="34">
        <f t="shared" si="58"/>
        <v>0</v>
      </c>
      <c r="AW1124" s="34">
        <f t="shared" si="59"/>
        <v>0</v>
      </c>
      <c r="AX1124" s="34">
        <f t="shared" si="60"/>
        <v>0</v>
      </c>
      <c r="AY1124" s="65" t="s">
        <v>1964</v>
      </c>
      <c r="AZ1124" s="65" t="s">
        <v>1965</v>
      </c>
      <c r="BA1124" s="46" t="s">
        <v>1966</v>
      </c>
      <c r="BC1124" s="34">
        <f t="shared" si="61"/>
        <v>0</v>
      </c>
      <c r="BD1124" s="34">
        <f t="shared" si="62"/>
        <v>0</v>
      </c>
      <c r="BE1124" s="34">
        <v>0</v>
      </c>
      <c r="BF1124" s="34">
        <f>1124</f>
        <v>1124</v>
      </c>
      <c r="BH1124" s="34">
        <f t="shared" si="63"/>
        <v>0</v>
      </c>
      <c r="BI1124" s="34">
        <f t="shared" si="64"/>
        <v>0</v>
      </c>
      <c r="BJ1124" s="34">
        <f t="shared" si="65"/>
        <v>0</v>
      </c>
      <c r="BK1124" s="34"/>
      <c r="BL1124" s="34">
        <v>728</v>
      </c>
      <c r="BW1124" s="34">
        <v>21</v>
      </c>
      <c r="BX1124" s="3" t="s">
        <v>2075</v>
      </c>
    </row>
    <row r="1125" spans="1:76" x14ac:dyDescent="0.25">
      <c r="A1125" s="1" t="s">
        <v>2076</v>
      </c>
      <c r="B1125" s="2" t="s">
        <v>87</v>
      </c>
      <c r="C1125" s="2" t="s">
        <v>2077</v>
      </c>
      <c r="D1125" s="86" t="s">
        <v>2078</v>
      </c>
      <c r="E1125" s="81"/>
      <c r="F1125" s="2" t="s">
        <v>258</v>
      </c>
      <c r="G1125" s="34">
        <v>1</v>
      </c>
      <c r="H1125" s="64">
        <v>0</v>
      </c>
      <c r="I1125" s="34">
        <f t="shared" si="46"/>
        <v>0</v>
      </c>
      <c r="J1125" s="65" t="s">
        <v>4</v>
      </c>
      <c r="K1125" s="59"/>
      <c r="Z1125" s="34">
        <f t="shared" si="47"/>
        <v>0</v>
      </c>
      <c r="AB1125" s="34">
        <f t="shared" si="48"/>
        <v>0</v>
      </c>
      <c r="AC1125" s="34">
        <f t="shared" si="49"/>
        <v>0</v>
      </c>
      <c r="AD1125" s="34">
        <f t="shared" si="50"/>
        <v>0</v>
      </c>
      <c r="AE1125" s="34">
        <f t="shared" si="51"/>
        <v>0</v>
      </c>
      <c r="AF1125" s="34">
        <f t="shared" si="52"/>
        <v>0</v>
      </c>
      <c r="AG1125" s="34">
        <f t="shared" si="53"/>
        <v>0</v>
      </c>
      <c r="AH1125" s="34">
        <f t="shared" si="54"/>
        <v>0</v>
      </c>
      <c r="AI1125" s="46" t="s">
        <v>87</v>
      </c>
      <c r="AJ1125" s="34">
        <f t="shared" si="55"/>
        <v>0</v>
      </c>
      <c r="AK1125" s="34">
        <f t="shared" si="56"/>
        <v>0</v>
      </c>
      <c r="AL1125" s="34">
        <f t="shared" si="57"/>
        <v>0</v>
      </c>
      <c r="AN1125" s="34">
        <v>21</v>
      </c>
      <c r="AO1125" s="34">
        <f>H1125*0</f>
        <v>0</v>
      </c>
      <c r="AP1125" s="34">
        <f>H1125*(1-0)</f>
        <v>0</v>
      </c>
      <c r="AQ1125" s="65" t="s">
        <v>175</v>
      </c>
      <c r="AV1125" s="34">
        <f t="shared" si="58"/>
        <v>0</v>
      </c>
      <c r="AW1125" s="34">
        <f t="shared" si="59"/>
        <v>0</v>
      </c>
      <c r="AX1125" s="34">
        <f t="shared" si="60"/>
        <v>0</v>
      </c>
      <c r="AY1125" s="65" t="s">
        <v>1964</v>
      </c>
      <c r="AZ1125" s="65" t="s">
        <v>1965</v>
      </c>
      <c r="BA1125" s="46" t="s">
        <v>1966</v>
      </c>
      <c r="BC1125" s="34">
        <f t="shared" si="61"/>
        <v>0</v>
      </c>
      <c r="BD1125" s="34">
        <f t="shared" si="62"/>
        <v>0</v>
      </c>
      <c r="BE1125" s="34">
        <v>0</v>
      </c>
      <c r="BF1125" s="34">
        <f>1125</f>
        <v>1125</v>
      </c>
      <c r="BH1125" s="34">
        <f t="shared" si="63"/>
        <v>0</v>
      </c>
      <c r="BI1125" s="34">
        <f t="shared" si="64"/>
        <v>0</v>
      </c>
      <c r="BJ1125" s="34">
        <f t="shared" si="65"/>
        <v>0</v>
      </c>
      <c r="BK1125" s="34"/>
      <c r="BL1125" s="34">
        <v>728</v>
      </c>
      <c r="BW1125" s="34">
        <v>21</v>
      </c>
      <c r="BX1125" s="3" t="s">
        <v>2078</v>
      </c>
    </row>
    <row r="1126" spans="1:76" x14ac:dyDescent="0.25">
      <c r="A1126" s="1" t="s">
        <v>2079</v>
      </c>
      <c r="B1126" s="2" t="s">
        <v>87</v>
      </c>
      <c r="C1126" s="2" t="s">
        <v>1968</v>
      </c>
      <c r="D1126" s="86" t="s">
        <v>2080</v>
      </c>
      <c r="E1126" s="81"/>
      <c r="F1126" s="2" t="s">
        <v>258</v>
      </c>
      <c r="G1126" s="34">
        <v>2</v>
      </c>
      <c r="H1126" s="64">
        <v>0</v>
      </c>
      <c r="I1126" s="34">
        <f t="shared" si="46"/>
        <v>0</v>
      </c>
      <c r="J1126" s="65" t="s">
        <v>4</v>
      </c>
      <c r="K1126" s="59"/>
      <c r="Z1126" s="34">
        <f t="shared" si="47"/>
        <v>0</v>
      </c>
      <c r="AB1126" s="34">
        <f t="shared" si="48"/>
        <v>0</v>
      </c>
      <c r="AC1126" s="34">
        <f t="shared" si="49"/>
        <v>0</v>
      </c>
      <c r="AD1126" s="34">
        <f t="shared" si="50"/>
        <v>0</v>
      </c>
      <c r="AE1126" s="34">
        <f t="shared" si="51"/>
        <v>0</v>
      </c>
      <c r="AF1126" s="34">
        <f t="shared" si="52"/>
        <v>0</v>
      </c>
      <c r="AG1126" s="34">
        <f t="shared" si="53"/>
        <v>0</v>
      </c>
      <c r="AH1126" s="34">
        <f t="shared" si="54"/>
        <v>0</v>
      </c>
      <c r="AI1126" s="46" t="s">
        <v>87</v>
      </c>
      <c r="AJ1126" s="34">
        <f t="shared" si="55"/>
        <v>0</v>
      </c>
      <c r="AK1126" s="34">
        <f t="shared" si="56"/>
        <v>0</v>
      </c>
      <c r="AL1126" s="34">
        <f t="shared" si="57"/>
        <v>0</v>
      </c>
      <c r="AN1126" s="34">
        <v>21</v>
      </c>
      <c r="AO1126" s="34">
        <f>H1126*1</f>
        <v>0</v>
      </c>
      <c r="AP1126" s="34">
        <f>H1126*(1-1)</f>
        <v>0</v>
      </c>
      <c r="AQ1126" s="65" t="s">
        <v>175</v>
      </c>
      <c r="AV1126" s="34">
        <f t="shared" si="58"/>
        <v>0</v>
      </c>
      <c r="AW1126" s="34">
        <f t="shared" si="59"/>
        <v>0</v>
      </c>
      <c r="AX1126" s="34">
        <f t="shared" si="60"/>
        <v>0</v>
      </c>
      <c r="AY1126" s="65" t="s">
        <v>1964</v>
      </c>
      <c r="AZ1126" s="65" t="s">
        <v>1965</v>
      </c>
      <c r="BA1126" s="46" t="s">
        <v>1966</v>
      </c>
      <c r="BC1126" s="34">
        <f t="shared" si="61"/>
        <v>0</v>
      </c>
      <c r="BD1126" s="34">
        <f t="shared" si="62"/>
        <v>0</v>
      </c>
      <c r="BE1126" s="34">
        <v>0</v>
      </c>
      <c r="BF1126" s="34">
        <f>1126</f>
        <v>1126</v>
      </c>
      <c r="BH1126" s="34">
        <f t="shared" si="63"/>
        <v>0</v>
      </c>
      <c r="BI1126" s="34">
        <f t="shared" si="64"/>
        <v>0</v>
      </c>
      <c r="BJ1126" s="34">
        <f t="shared" si="65"/>
        <v>0</v>
      </c>
      <c r="BK1126" s="34"/>
      <c r="BL1126" s="34">
        <v>728</v>
      </c>
      <c r="BW1126" s="34">
        <v>21</v>
      </c>
      <c r="BX1126" s="3" t="s">
        <v>2080</v>
      </c>
    </row>
    <row r="1127" spans="1:76" ht="25.5" x14ac:dyDescent="0.25">
      <c r="A1127" s="1" t="s">
        <v>2081</v>
      </c>
      <c r="B1127" s="2" t="s">
        <v>87</v>
      </c>
      <c r="C1127" s="2" t="s">
        <v>2082</v>
      </c>
      <c r="D1127" s="86" t="s">
        <v>2083</v>
      </c>
      <c r="E1127" s="81"/>
      <c r="F1127" s="2" t="s">
        <v>258</v>
      </c>
      <c r="G1127" s="34">
        <v>5</v>
      </c>
      <c r="H1127" s="64">
        <v>0</v>
      </c>
      <c r="I1127" s="34">
        <f t="shared" si="46"/>
        <v>0</v>
      </c>
      <c r="J1127" s="65" t="s">
        <v>4</v>
      </c>
      <c r="K1127" s="59"/>
      <c r="Z1127" s="34">
        <f t="shared" si="47"/>
        <v>0</v>
      </c>
      <c r="AB1127" s="34">
        <f t="shared" si="48"/>
        <v>0</v>
      </c>
      <c r="AC1127" s="34">
        <f t="shared" si="49"/>
        <v>0</v>
      </c>
      <c r="AD1127" s="34">
        <f t="shared" si="50"/>
        <v>0</v>
      </c>
      <c r="AE1127" s="34">
        <f t="shared" si="51"/>
        <v>0</v>
      </c>
      <c r="AF1127" s="34">
        <f t="shared" si="52"/>
        <v>0</v>
      </c>
      <c r="AG1127" s="34">
        <f t="shared" si="53"/>
        <v>0</v>
      </c>
      <c r="AH1127" s="34">
        <f t="shared" si="54"/>
        <v>0</v>
      </c>
      <c r="AI1127" s="46" t="s">
        <v>87</v>
      </c>
      <c r="AJ1127" s="34">
        <f t="shared" si="55"/>
        <v>0</v>
      </c>
      <c r="AK1127" s="34">
        <f t="shared" si="56"/>
        <v>0</v>
      </c>
      <c r="AL1127" s="34">
        <f t="shared" si="57"/>
        <v>0</v>
      </c>
      <c r="AN1127" s="34">
        <v>21</v>
      </c>
      <c r="AO1127" s="34">
        <f>H1127*0</f>
        <v>0</v>
      </c>
      <c r="AP1127" s="34">
        <f>H1127*(1-0)</f>
        <v>0</v>
      </c>
      <c r="AQ1127" s="65" t="s">
        <v>175</v>
      </c>
      <c r="AV1127" s="34">
        <f t="shared" si="58"/>
        <v>0</v>
      </c>
      <c r="AW1127" s="34">
        <f t="shared" si="59"/>
        <v>0</v>
      </c>
      <c r="AX1127" s="34">
        <f t="shared" si="60"/>
        <v>0</v>
      </c>
      <c r="AY1127" s="65" t="s">
        <v>1964</v>
      </c>
      <c r="AZ1127" s="65" t="s">
        <v>1965</v>
      </c>
      <c r="BA1127" s="46" t="s">
        <v>1966</v>
      </c>
      <c r="BC1127" s="34">
        <f t="shared" si="61"/>
        <v>0</v>
      </c>
      <c r="BD1127" s="34">
        <f t="shared" si="62"/>
        <v>0</v>
      </c>
      <c r="BE1127" s="34">
        <v>0</v>
      </c>
      <c r="BF1127" s="34">
        <f>1127</f>
        <v>1127</v>
      </c>
      <c r="BH1127" s="34">
        <f t="shared" si="63"/>
        <v>0</v>
      </c>
      <c r="BI1127" s="34">
        <f t="shared" si="64"/>
        <v>0</v>
      </c>
      <c r="BJ1127" s="34">
        <f t="shared" si="65"/>
        <v>0</v>
      </c>
      <c r="BK1127" s="34"/>
      <c r="BL1127" s="34">
        <v>728</v>
      </c>
      <c r="BW1127" s="34">
        <v>21</v>
      </c>
      <c r="BX1127" s="3" t="s">
        <v>2083</v>
      </c>
    </row>
    <row r="1128" spans="1:76" x14ac:dyDescent="0.25">
      <c r="A1128" s="1" t="s">
        <v>2084</v>
      </c>
      <c r="B1128" s="2" t="s">
        <v>87</v>
      </c>
      <c r="C1128" s="2" t="s">
        <v>2085</v>
      </c>
      <c r="D1128" s="86" t="s">
        <v>2086</v>
      </c>
      <c r="E1128" s="81"/>
      <c r="F1128" s="2" t="s">
        <v>258</v>
      </c>
      <c r="G1128" s="34">
        <v>8</v>
      </c>
      <c r="H1128" s="64">
        <v>0</v>
      </c>
      <c r="I1128" s="34">
        <f t="shared" si="46"/>
        <v>0</v>
      </c>
      <c r="J1128" s="65" t="s">
        <v>4</v>
      </c>
      <c r="K1128" s="59"/>
      <c r="Z1128" s="34">
        <f t="shared" si="47"/>
        <v>0</v>
      </c>
      <c r="AB1128" s="34">
        <f t="shared" si="48"/>
        <v>0</v>
      </c>
      <c r="AC1128" s="34">
        <f t="shared" si="49"/>
        <v>0</v>
      </c>
      <c r="AD1128" s="34">
        <f t="shared" si="50"/>
        <v>0</v>
      </c>
      <c r="AE1128" s="34">
        <f t="shared" si="51"/>
        <v>0</v>
      </c>
      <c r="AF1128" s="34">
        <f t="shared" si="52"/>
        <v>0</v>
      </c>
      <c r="AG1128" s="34">
        <f t="shared" si="53"/>
        <v>0</v>
      </c>
      <c r="AH1128" s="34">
        <f t="shared" si="54"/>
        <v>0</v>
      </c>
      <c r="AI1128" s="46" t="s">
        <v>87</v>
      </c>
      <c r="AJ1128" s="34">
        <f t="shared" si="55"/>
        <v>0</v>
      </c>
      <c r="AK1128" s="34">
        <f t="shared" si="56"/>
        <v>0</v>
      </c>
      <c r="AL1128" s="34">
        <f t="shared" si="57"/>
        <v>0</v>
      </c>
      <c r="AN1128" s="34">
        <v>21</v>
      </c>
      <c r="AO1128" s="34">
        <f>H1128*0</f>
        <v>0</v>
      </c>
      <c r="AP1128" s="34">
        <f>H1128*(1-0)</f>
        <v>0</v>
      </c>
      <c r="AQ1128" s="65" t="s">
        <v>175</v>
      </c>
      <c r="AV1128" s="34">
        <f t="shared" si="58"/>
        <v>0</v>
      </c>
      <c r="AW1128" s="34">
        <f t="shared" si="59"/>
        <v>0</v>
      </c>
      <c r="AX1128" s="34">
        <f t="shared" si="60"/>
        <v>0</v>
      </c>
      <c r="AY1128" s="65" t="s">
        <v>1964</v>
      </c>
      <c r="AZ1128" s="65" t="s">
        <v>1965</v>
      </c>
      <c r="BA1128" s="46" t="s">
        <v>1966</v>
      </c>
      <c r="BC1128" s="34">
        <f t="shared" si="61"/>
        <v>0</v>
      </c>
      <c r="BD1128" s="34">
        <f t="shared" si="62"/>
        <v>0</v>
      </c>
      <c r="BE1128" s="34">
        <v>0</v>
      </c>
      <c r="BF1128" s="34">
        <f>1128</f>
        <v>1128</v>
      </c>
      <c r="BH1128" s="34">
        <f t="shared" si="63"/>
        <v>0</v>
      </c>
      <c r="BI1128" s="34">
        <f t="shared" si="64"/>
        <v>0</v>
      </c>
      <c r="BJ1128" s="34">
        <f t="shared" si="65"/>
        <v>0</v>
      </c>
      <c r="BK1128" s="34"/>
      <c r="BL1128" s="34">
        <v>728</v>
      </c>
      <c r="BW1128" s="34">
        <v>21</v>
      </c>
      <c r="BX1128" s="3" t="s">
        <v>2086</v>
      </c>
    </row>
    <row r="1129" spans="1:76" x14ac:dyDescent="0.25">
      <c r="A1129" s="1" t="s">
        <v>2087</v>
      </c>
      <c r="B1129" s="2" t="s">
        <v>87</v>
      </c>
      <c r="C1129" s="2" t="s">
        <v>2088</v>
      </c>
      <c r="D1129" s="86" t="s">
        <v>2089</v>
      </c>
      <c r="E1129" s="81"/>
      <c r="F1129" s="2" t="s">
        <v>258</v>
      </c>
      <c r="G1129" s="34">
        <v>8</v>
      </c>
      <c r="H1129" s="64">
        <v>0</v>
      </c>
      <c r="I1129" s="34">
        <f t="shared" si="46"/>
        <v>0</v>
      </c>
      <c r="J1129" s="65" t="s">
        <v>4</v>
      </c>
      <c r="K1129" s="59"/>
      <c r="Z1129" s="34">
        <f t="shared" si="47"/>
        <v>0</v>
      </c>
      <c r="AB1129" s="34">
        <f t="shared" si="48"/>
        <v>0</v>
      </c>
      <c r="AC1129" s="34">
        <f t="shared" si="49"/>
        <v>0</v>
      </c>
      <c r="AD1129" s="34">
        <f t="shared" si="50"/>
        <v>0</v>
      </c>
      <c r="AE1129" s="34">
        <f t="shared" si="51"/>
        <v>0</v>
      </c>
      <c r="AF1129" s="34">
        <f t="shared" si="52"/>
        <v>0</v>
      </c>
      <c r="AG1129" s="34">
        <f t="shared" si="53"/>
        <v>0</v>
      </c>
      <c r="AH1129" s="34">
        <f t="shared" si="54"/>
        <v>0</v>
      </c>
      <c r="AI1129" s="46" t="s">
        <v>87</v>
      </c>
      <c r="AJ1129" s="34">
        <f t="shared" si="55"/>
        <v>0</v>
      </c>
      <c r="AK1129" s="34">
        <f t="shared" si="56"/>
        <v>0</v>
      </c>
      <c r="AL1129" s="34">
        <f t="shared" si="57"/>
        <v>0</v>
      </c>
      <c r="AN1129" s="34">
        <v>21</v>
      </c>
      <c r="AO1129" s="34">
        <f>H1129*1</f>
        <v>0</v>
      </c>
      <c r="AP1129" s="34">
        <f>H1129*(1-1)</f>
        <v>0</v>
      </c>
      <c r="AQ1129" s="65" t="s">
        <v>175</v>
      </c>
      <c r="AV1129" s="34">
        <f t="shared" si="58"/>
        <v>0</v>
      </c>
      <c r="AW1129" s="34">
        <f t="shared" si="59"/>
        <v>0</v>
      </c>
      <c r="AX1129" s="34">
        <f t="shared" si="60"/>
        <v>0</v>
      </c>
      <c r="AY1129" s="65" t="s">
        <v>1964</v>
      </c>
      <c r="AZ1129" s="65" t="s">
        <v>1965</v>
      </c>
      <c r="BA1129" s="46" t="s">
        <v>1966</v>
      </c>
      <c r="BC1129" s="34">
        <f t="shared" si="61"/>
        <v>0</v>
      </c>
      <c r="BD1129" s="34">
        <f t="shared" si="62"/>
        <v>0</v>
      </c>
      <c r="BE1129" s="34">
        <v>0</v>
      </c>
      <c r="BF1129" s="34">
        <f>1129</f>
        <v>1129</v>
      </c>
      <c r="BH1129" s="34">
        <f t="shared" si="63"/>
        <v>0</v>
      </c>
      <c r="BI1129" s="34">
        <f t="shared" si="64"/>
        <v>0</v>
      </c>
      <c r="BJ1129" s="34">
        <f t="shared" si="65"/>
        <v>0</v>
      </c>
      <c r="BK1129" s="34"/>
      <c r="BL1129" s="34">
        <v>728</v>
      </c>
      <c r="BW1129" s="34">
        <v>21</v>
      </c>
      <c r="BX1129" s="3" t="s">
        <v>2089</v>
      </c>
    </row>
    <row r="1130" spans="1:76" x14ac:dyDescent="0.25">
      <c r="A1130" s="1" t="s">
        <v>2090</v>
      </c>
      <c r="B1130" s="2" t="s">
        <v>87</v>
      </c>
      <c r="C1130" s="2" t="s">
        <v>2091</v>
      </c>
      <c r="D1130" s="86" t="s">
        <v>2092</v>
      </c>
      <c r="E1130" s="81"/>
      <c r="F1130" s="2" t="s">
        <v>258</v>
      </c>
      <c r="G1130" s="34">
        <v>19</v>
      </c>
      <c r="H1130" s="64">
        <v>0</v>
      </c>
      <c r="I1130" s="34">
        <f t="shared" si="46"/>
        <v>0</v>
      </c>
      <c r="J1130" s="65" t="s">
        <v>4</v>
      </c>
      <c r="K1130" s="59"/>
      <c r="Z1130" s="34">
        <f t="shared" si="47"/>
        <v>0</v>
      </c>
      <c r="AB1130" s="34">
        <f t="shared" si="48"/>
        <v>0</v>
      </c>
      <c r="AC1130" s="34">
        <f t="shared" si="49"/>
        <v>0</v>
      </c>
      <c r="AD1130" s="34">
        <f t="shared" si="50"/>
        <v>0</v>
      </c>
      <c r="AE1130" s="34">
        <f t="shared" si="51"/>
        <v>0</v>
      </c>
      <c r="AF1130" s="34">
        <f t="shared" si="52"/>
        <v>0</v>
      </c>
      <c r="AG1130" s="34">
        <f t="shared" si="53"/>
        <v>0</v>
      </c>
      <c r="AH1130" s="34">
        <f t="shared" si="54"/>
        <v>0</v>
      </c>
      <c r="AI1130" s="46" t="s">
        <v>87</v>
      </c>
      <c r="AJ1130" s="34">
        <f t="shared" si="55"/>
        <v>0</v>
      </c>
      <c r="AK1130" s="34">
        <f t="shared" si="56"/>
        <v>0</v>
      </c>
      <c r="AL1130" s="34">
        <f t="shared" si="57"/>
        <v>0</v>
      </c>
      <c r="AN1130" s="34">
        <v>21</v>
      </c>
      <c r="AO1130" s="34">
        <f>H1130*0</f>
        <v>0</v>
      </c>
      <c r="AP1130" s="34">
        <f>H1130*(1-0)</f>
        <v>0</v>
      </c>
      <c r="AQ1130" s="65" t="s">
        <v>175</v>
      </c>
      <c r="AV1130" s="34">
        <f t="shared" si="58"/>
        <v>0</v>
      </c>
      <c r="AW1130" s="34">
        <f t="shared" si="59"/>
        <v>0</v>
      </c>
      <c r="AX1130" s="34">
        <f t="shared" si="60"/>
        <v>0</v>
      </c>
      <c r="AY1130" s="65" t="s">
        <v>1964</v>
      </c>
      <c r="AZ1130" s="65" t="s">
        <v>1965</v>
      </c>
      <c r="BA1130" s="46" t="s">
        <v>1966</v>
      </c>
      <c r="BC1130" s="34">
        <f t="shared" si="61"/>
        <v>0</v>
      </c>
      <c r="BD1130" s="34">
        <f t="shared" si="62"/>
        <v>0</v>
      </c>
      <c r="BE1130" s="34">
        <v>0</v>
      </c>
      <c r="BF1130" s="34">
        <f>1130</f>
        <v>1130</v>
      </c>
      <c r="BH1130" s="34">
        <f t="shared" si="63"/>
        <v>0</v>
      </c>
      <c r="BI1130" s="34">
        <f t="shared" si="64"/>
        <v>0</v>
      </c>
      <c r="BJ1130" s="34">
        <f t="shared" si="65"/>
        <v>0</v>
      </c>
      <c r="BK1130" s="34"/>
      <c r="BL1130" s="34">
        <v>728</v>
      </c>
      <c r="BW1130" s="34">
        <v>21</v>
      </c>
      <c r="BX1130" s="3" t="s">
        <v>2092</v>
      </c>
    </row>
    <row r="1131" spans="1:76" x14ac:dyDescent="0.25">
      <c r="A1131" s="1" t="s">
        <v>2093</v>
      </c>
      <c r="B1131" s="2" t="s">
        <v>87</v>
      </c>
      <c r="C1131" s="2" t="s">
        <v>2094</v>
      </c>
      <c r="D1131" s="86" t="s">
        <v>2089</v>
      </c>
      <c r="E1131" s="81"/>
      <c r="F1131" s="2" t="s">
        <v>258</v>
      </c>
      <c r="G1131" s="34">
        <v>10</v>
      </c>
      <c r="H1131" s="64">
        <v>0</v>
      </c>
      <c r="I1131" s="34">
        <f t="shared" si="46"/>
        <v>0</v>
      </c>
      <c r="J1131" s="65" t="s">
        <v>4</v>
      </c>
      <c r="K1131" s="59"/>
      <c r="Z1131" s="34">
        <f t="shared" si="47"/>
        <v>0</v>
      </c>
      <c r="AB1131" s="34">
        <f t="shared" si="48"/>
        <v>0</v>
      </c>
      <c r="AC1131" s="34">
        <f t="shared" si="49"/>
        <v>0</v>
      </c>
      <c r="AD1131" s="34">
        <f t="shared" si="50"/>
        <v>0</v>
      </c>
      <c r="AE1131" s="34">
        <f t="shared" si="51"/>
        <v>0</v>
      </c>
      <c r="AF1131" s="34">
        <f t="shared" si="52"/>
        <v>0</v>
      </c>
      <c r="AG1131" s="34">
        <f t="shared" si="53"/>
        <v>0</v>
      </c>
      <c r="AH1131" s="34">
        <f t="shared" si="54"/>
        <v>0</v>
      </c>
      <c r="AI1131" s="46" t="s">
        <v>87</v>
      </c>
      <c r="AJ1131" s="34">
        <f t="shared" si="55"/>
        <v>0</v>
      </c>
      <c r="AK1131" s="34">
        <f t="shared" si="56"/>
        <v>0</v>
      </c>
      <c r="AL1131" s="34">
        <f t="shared" si="57"/>
        <v>0</v>
      </c>
      <c r="AN1131" s="34">
        <v>21</v>
      </c>
      <c r="AO1131" s="34">
        <f>H1131*1</f>
        <v>0</v>
      </c>
      <c r="AP1131" s="34">
        <f>H1131*(1-1)</f>
        <v>0</v>
      </c>
      <c r="AQ1131" s="65" t="s">
        <v>175</v>
      </c>
      <c r="AV1131" s="34">
        <f t="shared" si="58"/>
        <v>0</v>
      </c>
      <c r="AW1131" s="34">
        <f t="shared" si="59"/>
        <v>0</v>
      </c>
      <c r="AX1131" s="34">
        <f t="shared" si="60"/>
        <v>0</v>
      </c>
      <c r="AY1131" s="65" t="s">
        <v>1964</v>
      </c>
      <c r="AZ1131" s="65" t="s">
        <v>1965</v>
      </c>
      <c r="BA1131" s="46" t="s">
        <v>1966</v>
      </c>
      <c r="BC1131" s="34">
        <f t="shared" si="61"/>
        <v>0</v>
      </c>
      <c r="BD1131" s="34">
        <f t="shared" si="62"/>
        <v>0</v>
      </c>
      <c r="BE1131" s="34">
        <v>0</v>
      </c>
      <c r="BF1131" s="34">
        <f>1131</f>
        <v>1131</v>
      </c>
      <c r="BH1131" s="34">
        <f t="shared" si="63"/>
        <v>0</v>
      </c>
      <c r="BI1131" s="34">
        <f t="shared" si="64"/>
        <v>0</v>
      </c>
      <c r="BJ1131" s="34">
        <f t="shared" si="65"/>
        <v>0</v>
      </c>
      <c r="BK1131" s="34"/>
      <c r="BL1131" s="34">
        <v>728</v>
      </c>
      <c r="BW1131" s="34">
        <v>21</v>
      </c>
      <c r="BX1131" s="3" t="s">
        <v>2089</v>
      </c>
    </row>
    <row r="1132" spans="1:76" x14ac:dyDescent="0.25">
      <c r="A1132" s="1" t="s">
        <v>2095</v>
      </c>
      <c r="B1132" s="2" t="s">
        <v>87</v>
      </c>
      <c r="C1132" s="2" t="s">
        <v>2096</v>
      </c>
      <c r="D1132" s="86" t="s">
        <v>2089</v>
      </c>
      <c r="E1132" s="81"/>
      <c r="F1132" s="2" t="s">
        <v>258</v>
      </c>
      <c r="G1132" s="34">
        <v>9</v>
      </c>
      <c r="H1132" s="64">
        <v>0</v>
      </c>
      <c r="I1132" s="34">
        <f t="shared" si="46"/>
        <v>0</v>
      </c>
      <c r="J1132" s="65" t="s">
        <v>4</v>
      </c>
      <c r="K1132" s="59"/>
      <c r="Z1132" s="34">
        <f t="shared" si="47"/>
        <v>0</v>
      </c>
      <c r="AB1132" s="34">
        <f t="shared" si="48"/>
        <v>0</v>
      </c>
      <c r="AC1132" s="34">
        <f t="shared" si="49"/>
        <v>0</v>
      </c>
      <c r="AD1132" s="34">
        <f t="shared" si="50"/>
        <v>0</v>
      </c>
      <c r="AE1132" s="34">
        <f t="shared" si="51"/>
        <v>0</v>
      </c>
      <c r="AF1132" s="34">
        <f t="shared" si="52"/>
        <v>0</v>
      </c>
      <c r="AG1132" s="34">
        <f t="shared" si="53"/>
        <v>0</v>
      </c>
      <c r="AH1132" s="34">
        <f t="shared" si="54"/>
        <v>0</v>
      </c>
      <c r="AI1132" s="46" t="s">
        <v>87</v>
      </c>
      <c r="AJ1132" s="34">
        <f t="shared" si="55"/>
        <v>0</v>
      </c>
      <c r="AK1132" s="34">
        <f t="shared" si="56"/>
        <v>0</v>
      </c>
      <c r="AL1132" s="34">
        <f t="shared" si="57"/>
        <v>0</v>
      </c>
      <c r="AN1132" s="34">
        <v>21</v>
      </c>
      <c r="AO1132" s="34">
        <f>H1132*1</f>
        <v>0</v>
      </c>
      <c r="AP1132" s="34">
        <f>H1132*(1-1)</f>
        <v>0</v>
      </c>
      <c r="AQ1132" s="65" t="s">
        <v>175</v>
      </c>
      <c r="AV1132" s="34">
        <f t="shared" si="58"/>
        <v>0</v>
      </c>
      <c r="AW1132" s="34">
        <f t="shared" si="59"/>
        <v>0</v>
      </c>
      <c r="AX1132" s="34">
        <f t="shared" si="60"/>
        <v>0</v>
      </c>
      <c r="AY1132" s="65" t="s">
        <v>1964</v>
      </c>
      <c r="AZ1132" s="65" t="s">
        <v>1965</v>
      </c>
      <c r="BA1132" s="46" t="s">
        <v>1966</v>
      </c>
      <c r="BC1132" s="34">
        <f t="shared" si="61"/>
        <v>0</v>
      </c>
      <c r="BD1132" s="34">
        <f t="shared" si="62"/>
        <v>0</v>
      </c>
      <c r="BE1132" s="34">
        <v>0</v>
      </c>
      <c r="BF1132" s="34">
        <f>1132</f>
        <v>1132</v>
      </c>
      <c r="BH1132" s="34">
        <f t="shared" si="63"/>
        <v>0</v>
      </c>
      <c r="BI1132" s="34">
        <f t="shared" si="64"/>
        <v>0</v>
      </c>
      <c r="BJ1132" s="34">
        <f t="shared" si="65"/>
        <v>0</v>
      </c>
      <c r="BK1132" s="34"/>
      <c r="BL1132" s="34">
        <v>728</v>
      </c>
      <c r="BW1132" s="34">
        <v>21</v>
      </c>
      <c r="BX1132" s="3" t="s">
        <v>2089</v>
      </c>
    </row>
    <row r="1133" spans="1:76" x14ac:dyDescent="0.25">
      <c r="A1133" s="1" t="s">
        <v>2097</v>
      </c>
      <c r="B1133" s="2" t="s">
        <v>87</v>
      </c>
      <c r="C1133" s="2" t="s">
        <v>2098</v>
      </c>
      <c r="D1133" s="86" t="s">
        <v>2099</v>
      </c>
      <c r="E1133" s="81"/>
      <c r="F1133" s="2" t="s">
        <v>258</v>
      </c>
      <c r="G1133" s="34">
        <v>12</v>
      </c>
      <c r="H1133" s="64">
        <v>0</v>
      </c>
      <c r="I1133" s="34">
        <f t="shared" si="46"/>
        <v>0</v>
      </c>
      <c r="J1133" s="65" t="s">
        <v>4</v>
      </c>
      <c r="K1133" s="59"/>
      <c r="Z1133" s="34">
        <f t="shared" si="47"/>
        <v>0</v>
      </c>
      <c r="AB1133" s="34">
        <f t="shared" si="48"/>
        <v>0</v>
      </c>
      <c r="AC1133" s="34">
        <f t="shared" si="49"/>
        <v>0</v>
      </c>
      <c r="AD1133" s="34">
        <f t="shared" si="50"/>
        <v>0</v>
      </c>
      <c r="AE1133" s="34">
        <f t="shared" si="51"/>
        <v>0</v>
      </c>
      <c r="AF1133" s="34">
        <f t="shared" si="52"/>
        <v>0</v>
      </c>
      <c r="AG1133" s="34">
        <f t="shared" si="53"/>
        <v>0</v>
      </c>
      <c r="AH1133" s="34">
        <f t="shared" si="54"/>
        <v>0</v>
      </c>
      <c r="AI1133" s="46" t="s">
        <v>87</v>
      </c>
      <c r="AJ1133" s="34">
        <f t="shared" si="55"/>
        <v>0</v>
      </c>
      <c r="AK1133" s="34">
        <f t="shared" si="56"/>
        <v>0</v>
      </c>
      <c r="AL1133" s="34">
        <f t="shared" si="57"/>
        <v>0</v>
      </c>
      <c r="AN1133" s="34">
        <v>21</v>
      </c>
      <c r="AO1133" s="34">
        <f>H1133*0</f>
        <v>0</v>
      </c>
      <c r="AP1133" s="34">
        <f>H1133*(1-0)</f>
        <v>0</v>
      </c>
      <c r="AQ1133" s="65" t="s">
        <v>175</v>
      </c>
      <c r="AV1133" s="34">
        <f t="shared" si="58"/>
        <v>0</v>
      </c>
      <c r="AW1133" s="34">
        <f t="shared" si="59"/>
        <v>0</v>
      </c>
      <c r="AX1133" s="34">
        <f t="shared" si="60"/>
        <v>0</v>
      </c>
      <c r="AY1133" s="65" t="s">
        <v>1964</v>
      </c>
      <c r="AZ1133" s="65" t="s">
        <v>1965</v>
      </c>
      <c r="BA1133" s="46" t="s">
        <v>1966</v>
      </c>
      <c r="BC1133" s="34">
        <f t="shared" si="61"/>
        <v>0</v>
      </c>
      <c r="BD1133" s="34">
        <f t="shared" si="62"/>
        <v>0</v>
      </c>
      <c r="BE1133" s="34">
        <v>0</v>
      </c>
      <c r="BF1133" s="34">
        <f>1133</f>
        <v>1133</v>
      </c>
      <c r="BH1133" s="34">
        <f t="shared" si="63"/>
        <v>0</v>
      </c>
      <c r="BI1133" s="34">
        <f t="shared" si="64"/>
        <v>0</v>
      </c>
      <c r="BJ1133" s="34">
        <f t="shared" si="65"/>
        <v>0</v>
      </c>
      <c r="BK1133" s="34"/>
      <c r="BL1133" s="34">
        <v>728</v>
      </c>
      <c r="BW1133" s="34">
        <v>21</v>
      </c>
      <c r="BX1133" s="3" t="s">
        <v>2099</v>
      </c>
    </row>
    <row r="1134" spans="1:76" x14ac:dyDescent="0.25">
      <c r="A1134" s="1" t="s">
        <v>2100</v>
      </c>
      <c r="B1134" s="2" t="s">
        <v>87</v>
      </c>
      <c r="C1134" s="2" t="s">
        <v>2101</v>
      </c>
      <c r="D1134" s="86" t="s">
        <v>2102</v>
      </c>
      <c r="E1134" s="81"/>
      <c r="F1134" s="2" t="s">
        <v>258</v>
      </c>
      <c r="G1134" s="34">
        <v>12</v>
      </c>
      <c r="H1134" s="64">
        <v>0</v>
      </c>
      <c r="I1134" s="34">
        <f t="shared" si="46"/>
        <v>0</v>
      </c>
      <c r="J1134" s="65" t="s">
        <v>4</v>
      </c>
      <c r="K1134" s="59"/>
      <c r="Z1134" s="34">
        <f t="shared" si="47"/>
        <v>0</v>
      </c>
      <c r="AB1134" s="34">
        <f t="shared" si="48"/>
        <v>0</v>
      </c>
      <c r="AC1134" s="34">
        <f t="shared" si="49"/>
        <v>0</v>
      </c>
      <c r="AD1134" s="34">
        <f t="shared" si="50"/>
        <v>0</v>
      </c>
      <c r="AE1134" s="34">
        <f t="shared" si="51"/>
        <v>0</v>
      </c>
      <c r="AF1134" s="34">
        <f t="shared" si="52"/>
        <v>0</v>
      </c>
      <c r="AG1134" s="34">
        <f t="shared" si="53"/>
        <v>0</v>
      </c>
      <c r="AH1134" s="34">
        <f t="shared" si="54"/>
        <v>0</v>
      </c>
      <c r="AI1134" s="46" t="s">
        <v>87</v>
      </c>
      <c r="AJ1134" s="34">
        <f t="shared" si="55"/>
        <v>0</v>
      </c>
      <c r="AK1134" s="34">
        <f t="shared" si="56"/>
        <v>0</v>
      </c>
      <c r="AL1134" s="34">
        <f t="shared" si="57"/>
        <v>0</v>
      </c>
      <c r="AN1134" s="34">
        <v>21</v>
      </c>
      <c r="AO1134" s="34">
        <f>H1134*1</f>
        <v>0</v>
      </c>
      <c r="AP1134" s="34">
        <f>H1134*(1-1)</f>
        <v>0</v>
      </c>
      <c r="AQ1134" s="65" t="s">
        <v>175</v>
      </c>
      <c r="AV1134" s="34">
        <f t="shared" si="58"/>
        <v>0</v>
      </c>
      <c r="AW1134" s="34">
        <f t="shared" si="59"/>
        <v>0</v>
      </c>
      <c r="AX1134" s="34">
        <f t="shared" si="60"/>
        <v>0</v>
      </c>
      <c r="AY1134" s="65" t="s">
        <v>1964</v>
      </c>
      <c r="AZ1134" s="65" t="s">
        <v>1965</v>
      </c>
      <c r="BA1134" s="46" t="s">
        <v>1966</v>
      </c>
      <c r="BC1134" s="34">
        <f t="shared" si="61"/>
        <v>0</v>
      </c>
      <c r="BD1134" s="34">
        <f t="shared" si="62"/>
        <v>0</v>
      </c>
      <c r="BE1134" s="34">
        <v>0</v>
      </c>
      <c r="BF1134" s="34">
        <f>1134</f>
        <v>1134</v>
      </c>
      <c r="BH1134" s="34">
        <f t="shared" si="63"/>
        <v>0</v>
      </c>
      <c r="BI1134" s="34">
        <f t="shared" si="64"/>
        <v>0</v>
      </c>
      <c r="BJ1134" s="34">
        <f t="shared" si="65"/>
        <v>0</v>
      </c>
      <c r="BK1134" s="34"/>
      <c r="BL1134" s="34">
        <v>728</v>
      </c>
      <c r="BW1134" s="34">
        <v>21</v>
      </c>
      <c r="BX1134" s="3" t="s">
        <v>2102</v>
      </c>
    </row>
    <row r="1135" spans="1:76" x14ac:dyDescent="0.25">
      <c r="A1135" s="1" t="s">
        <v>2103</v>
      </c>
      <c r="B1135" s="2" t="s">
        <v>87</v>
      </c>
      <c r="C1135" s="2" t="s">
        <v>2104</v>
      </c>
      <c r="D1135" s="86" t="s">
        <v>2105</v>
      </c>
      <c r="E1135" s="81"/>
      <c r="F1135" s="2" t="s">
        <v>258</v>
      </c>
      <c r="G1135" s="34">
        <v>2</v>
      </c>
      <c r="H1135" s="64">
        <v>0</v>
      </c>
      <c r="I1135" s="34">
        <f t="shared" si="46"/>
        <v>0</v>
      </c>
      <c r="J1135" s="65" t="s">
        <v>4</v>
      </c>
      <c r="K1135" s="59"/>
      <c r="Z1135" s="34">
        <f t="shared" si="47"/>
        <v>0</v>
      </c>
      <c r="AB1135" s="34">
        <f t="shared" si="48"/>
        <v>0</v>
      </c>
      <c r="AC1135" s="34">
        <f t="shared" si="49"/>
        <v>0</v>
      </c>
      <c r="AD1135" s="34">
        <f t="shared" si="50"/>
        <v>0</v>
      </c>
      <c r="AE1135" s="34">
        <f t="shared" si="51"/>
        <v>0</v>
      </c>
      <c r="AF1135" s="34">
        <f t="shared" si="52"/>
        <v>0</v>
      </c>
      <c r="AG1135" s="34">
        <f t="shared" si="53"/>
        <v>0</v>
      </c>
      <c r="AH1135" s="34">
        <f t="shared" si="54"/>
        <v>0</v>
      </c>
      <c r="AI1135" s="46" t="s">
        <v>87</v>
      </c>
      <c r="AJ1135" s="34">
        <f t="shared" si="55"/>
        <v>0</v>
      </c>
      <c r="AK1135" s="34">
        <f t="shared" si="56"/>
        <v>0</v>
      </c>
      <c r="AL1135" s="34">
        <f t="shared" si="57"/>
        <v>0</v>
      </c>
      <c r="AN1135" s="34">
        <v>21</v>
      </c>
      <c r="AO1135" s="34">
        <f>H1135*0</f>
        <v>0</v>
      </c>
      <c r="AP1135" s="34">
        <f>H1135*(1-0)</f>
        <v>0</v>
      </c>
      <c r="AQ1135" s="65" t="s">
        <v>175</v>
      </c>
      <c r="AV1135" s="34">
        <f t="shared" si="58"/>
        <v>0</v>
      </c>
      <c r="AW1135" s="34">
        <f t="shared" si="59"/>
        <v>0</v>
      </c>
      <c r="AX1135" s="34">
        <f t="shared" si="60"/>
        <v>0</v>
      </c>
      <c r="AY1135" s="65" t="s">
        <v>1964</v>
      </c>
      <c r="AZ1135" s="65" t="s">
        <v>1965</v>
      </c>
      <c r="BA1135" s="46" t="s">
        <v>1966</v>
      </c>
      <c r="BC1135" s="34">
        <f t="shared" si="61"/>
        <v>0</v>
      </c>
      <c r="BD1135" s="34">
        <f t="shared" si="62"/>
        <v>0</v>
      </c>
      <c r="BE1135" s="34">
        <v>0</v>
      </c>
      <c r="BF1135" s="34">
        <f>1135</f>
        <v>1135</v>
      </c>
      <c r="BH1135" s="34">
        <f t="shared" si="63"/>
        <v>0</v>
      </c>
      <c r="BI1135" s="34">
        <f t="shared" si="64"/>
        <v>0</v>
      </c>
      <c r="BJ1135" s="34">
        <f t="shared" si="65"/>
        <v>0</v>
      </c>
      <c r="BK1135" s="34"/>
      <c r="BL1135" s="34">
        <v>728</v>
      </c>
      <c r="BW1135" s="34">
        <v>21</v>
      </c>
      <c r="BX1135" s="3" t="s">
        <v>2105</v>
      </c>
    </row>
    <row r="1136" spans="1:76" x14ac:dyDescent="0.25">
      <c r="A1136" s="1" t="s">
        <v>2106</v>
      </c>
      <c r="B1136" s="2" t="s">
        <v>87</v>
      </c>
      <c r="C1136" s="2" t="s">
        <v>2107</v>
      </c>
      <c r="D1136" s="86" t="s">
        <v>2108</v>
      </c>
      <c r="E1136" s="81"/>
      <c r="F1136" s="2" t="s">
        <v>258</v>
      </c>
      <c r="G1136" s="34">
        <v>2</v>
      </c>
      <c r="H1136" s="64">
        <v>0</v>
      </c>
      <c r="I1136" s="34">
        <f t="shared" si="46"/>
        <v>0</v>
      </c>
      <c r="J1136" s="65" t="s">
        <v>4</v>
      </c>
      <c r="K1136" s="59"/>
      <c r="Z1136" s="34">
        <f t="shared" si="47"/>
        <v>0</v>
      </c>
      <c r="AB1136" s="34">
        <f t="shared" si="48"/>
        <v>0</v>
      </c>
      <c r="AC1136" s="34">
        <f t="shared" si="49"/>
        <v>0</v>
      </c>
      <c r="AD1136" s="34">
        <f t="shared" si="50"/>
        <v>0</v>
      </c>
      <c r="AE1136" s="34">
        <f t="shared" si="51"/>
        <v>0</v>
      </c>
      <c r="AF1136" s="34">
        <f t="shared" si="52"/>
        <v>0</v>
      </c>
      <c r="AG1136" s="34">
        <f t="shared" si="53"/>
        <v>0</v>
      </c>
      <c r="AH1136" s="34">
        <f t="shared" si="54"/>
        <v>0</v>
      </c>
      <c r="AI1136" s="46" t="s">
        <v>87</v>
      </c>
      <c r="AJ1136" s="34">
        <f t="shared" si="55"/>
        <v>0</v>
      </c>
      <c r="AK1136" s="34">
        <f t="shared" si="56"/>
        <v>0</v>
      </c>
      <c r="AL1136" s="34">
        <f t="shared" si="57"/>
        <v>0</v>
      </c>
      <c r="AN1136" s="34">
        <v>21</v>
      </c>
      <c r="AO1136" s="34">
        <f>H1136*1</f>
        <v>0</v>
      </c>
      <c r="AP1136" s="34">
        <f>H1136*(1-1)</f>
        <v>0</v>
      </c>
      <c r="AQ1136" s="65" t="s">
        <v>175</v>
      </c>
      <c r="AV1136" s="34">
        <f t="shared" si="58"/>
        <v>0</v>
      </c>
      <c r="AW1136" s="34">
        <f t="shared" si="59"/>
        <v>0</v>
      </c>
      <c r="AX1136" s="34">
        <f t="shared" si="60"/>
        <v>0</v>
      </c>
      <c r="AY1136" s="65" t="s">
        <v>1964</v>
      </c>
      <c r="AZ1136" s="65" t="s">
        <v>1965</v>
      </c>
      <c r="BA1136" s="46" t="s">
        <v>1966</v>
      </c>
      <c r="BC1136" s="34">
        <f t="shared" si="61"/>
        <v>0</v>
      </c>
      <c r="BD1136" s="34">
        <f t="shared" si="62"/>
        <v>0</v>
      </c>
      <c r="BE1136" s="34">
        <v>0</v>
      </c>
      <c r="BF1136" s="34">
        <f>1136</f>
        <v>1136</v>
      </c>
      <c r="BH1136" s="34">
        <f t="shared" si="63"/>
        <v>0</v>
      </c>
      <c r="BI1136" s="34">
        <f t="shared" si="64"/>
        <v>0</v>
      </c>
      <c r="BJ1136" s="34">
        <f t="shared" si="65"/>
        <v>0</v>
      </c>
      <c r="BK1136" s="34"/>
      <c r="BL1136" s="34">
        <v>728</v>
      </c>
      <c r="BW1136" s="34">
        <v>21</v>
      </c>
      <c r="BX1136" s="3" t="s">
        <v>2108</v>
      </c>
    </row>
    <row r="1137" spans="1:76" x14ac:dyDescent="0.25">
      <c r="A1137" s="1" t="s">
        <v>2109</v>
      </c>
      <c r="B1137" s="2" t="s">
        <v>87</v>
      </c>
      <c r="C1137" s="2" t="s">
        <v>2110</v>
      </c>
      <c r="D1137" s="86" t="s">
        <v>2111</v>
      </c>
      <c r="E1137" s="81"/>
      <c r="F1137" s="2" t="s">
        <v>258</v>
      </c>
      <c r="G1137" s="34">
        <v>1</v>
      </c>
      <c r="H1137" s="64">
        <v>0</v>
      </c>
      <c r="I1137" s="34">
        <f t="shared" si="46"/>
        <v>0</v>
      </c>
      <c r="J1137" s="65" t="s">
        <v>4</v>
      </c>
      <c r="K1137" s="59"/>
      <c r="Z1137" s="34">
        <f t="shared" si="47"/>
        <v>0</v>
      </c>
      <c r="AB1137" s="34">
        <f t="shared" si="48"/>
        <v>0</v>
      </c>
      <c r="AC1137" s="34">
        <f t="shared" si="49"/>
        <v>0</v>
      </c>
      <c r="AD1137" s="34">
        <f t="shared" si="50"/>
        <v>0</v>
      </c>
      <c r="AE1137" s="34">
        <f t="shared" si="51"/>
        <v>0</v>
      </c>
      <c r="AF1137" s="34">
        <f t="shared" si="52"/>
        <v>0</v>
      </c>
      <c r="AG1137" s="34">
        <f t="shared" si="53"/>
        <v>0</v>
      </c>
      <c r="AH1137" s="34">
        <f t="shared" si="54"/>
        <v>0</v>
      </c>
      <c r="AI1137" s="46" t="s">
        <v>87</v>
      </c>
      <c r="AJ1137" s="34">
        <f t="shared" si="55"/>
        <v>0</v>
      </c>
      <c r="AK1137" s="34">
        <f t="shared" si="56"/>
        <v>0</v>
      </c>
      <c r="AL1137" s="34">
        <f t="shared" si="57"/>
        <v>0</v>
      </c>
      <c r="AN1137" s="34">
        <v>21</v>
      </c>
      <c r="AO1137" s="34">
        <f>H1137*0</f>
        <v>0</v>
      </c>
      <c r="AP1137" s="34">
        <f>H1137*(1-0)</f>
        <v>0</v>
      </c>
      <c r="AQ1137" s="65" t="s">
        <v>175</v>
      </c>
      <c r="AV1137" s="34">
        <f t="shared" si="58"/>
        <v>0</v>
      </c>
      <c r="AW1137" s="34">
        <f t="shared" si="59"/>
        <v>0</v>
      </c>
      <c r="AX1137" s="34">
        <f t="shared" si="60"/>
        <v>0</v>
      </c>
      <c r="AY1137" s="65" t="s">
        <v>1964</v>
      </c>
      <c r="AZ1137" s="65" t="s">
        <v>1965</v>
      </c>
      <c r="BA1137" s="46" t="s">
        <v>1966</v>
      </c>
      <c r="BC1137" s="34">
        <f t="shared" si="61"/>
        <v>0</v>
      </c>
      <c r="BD1137" s="34">
        <f t="shared" si="62"/>
        <v>0</v>
      </c>
      <c r="BE1137" s="34">
        <v>0</v>
      </c>
      <c r="BF1137" s="34">
        <f>1137</f>
        <v>1137</v>
      </c>
      <c r="BH1137" s="34">
        <f t="shared" si="63"/>
        <v>0</v>
      </c>
      <c r="BI1137" s="34">
        <f t="shared" si="64"/>
        <v>0</v>
      </c>
      <c r="BJ1137" s="34">
        <f t="shared" si="65"/>
        <v>0</v>
      </c>
      <c r="BK1137" s="34"/>
      <c r="BL1137" s="34">
        <v>728</v>
      </c>
      <c r="BW1137" s="34">
        <v>21</v>
      </c>
      <c r="BX1137" s="3" t="s">
        <v>2111</v>
      </c>
    </row>
    <row r="1138" spans="1:76" x14ac:dyDescent="0.25">
      <c r="A1138" s="1" t="s">
        <v>2112</v>
      </c>
      <c r="B1138" s="2" t="s">
        <v>87</v>
      </c>
      <c r="C1138" s="2" t="s">
        <v>1968</v>
      </c>
      <c r="D1138" s="86" t="s">
        <v>2113</v>
      </c>
      <c r="E1138" s="81"/>
      <c r="F1138" s="2" t="s">
        <v>1190</v>
      </c>
      <c r="G1138" s="34">
        <v>1</v>
      </c>
      <c r="H1138" s="64">
        <v>0</v>
      </c>
      <c r="I1138" s="34">
        <f t="shared" si="46"/>
        <v>0</v>
      </c>
      <c r="J1138" s="65" t="s">
        <v>4</v>
      </c>
      <c r="K1138" s="59"/>
      <c r="Z1138" s="34">
        <f t="shared" si="47"/>
        <v>0</v>
      </c>
      <c r="AB1138" s="34">
        <f t="shared" si="48"/>
        <v>0</v>
      </c>
      <c r="AC1138" s="34">
        <f t="shared" si="49"/>
        <v>0</v>
      </c>
      <c r="AD1138" s="34">
        <f t="shared" si="50"/>
        <v>0</v>
      </c>
      <c r="AE1138" s="34">
        <f t="shared" si="51"/>
        <v>0</v>
      </c>
      <c r="AF1138" s="34">
        <f t="shared" si="52"/>
        <v>0</v>
      </c>
      <c r="AG1138" s="34">
        <f t="shared" si="53"/>
        <v>0</v>
      </c>
      <c r="AH1138" s="34">
        <f t="shared" si="54"/>
        <v>0</v>
      </c>
      <c r="AI1138" s="46" t="s">
        <v>87</v>
      </c>
      <c r="AJ1138" s="34">
        <f t="shared" si="55"/>
        <v>0</v>
      </c>
      <c r="AK1138" s="34">
        <f t="shared" si="56"/>
        <v>0</v>
      </c>
      <c r="AL1138" s="34">
        <f t="shared" si="57"/>
        <v>0</v>
      </c>
      <c r="AN1138" s="34">
        <v>21</v>
      </c>
      <c r="AO1138" s="34">
        <f>H1138*1</f>
        <v>0</v>
      </c>
      <c r="AP1138" s="34">
        <f>H1138*(1-1)</f>
        <v>0</v>
      </c>
      <c r="AQ1138" s="65" t="s">
        <v>175</v>
      </c>
      <c r="AV1138" s="34">
        <f t="shared" si="58"/>
        <v>0</v>
      </c>
      <c r="AW1138" s="34">
        <f t="shared" si="59"/>
        <v>0</v>
      </c>
      <c r="AX1138" s="34">
        <f t="shared" si="60"/>
        <v>0</v>
      </c>
      <c r="AY1138" s="65" t="s">
        <v>1964</v>
      </c>
      <c r="AZ1138" s="65" t="s">
        <v>1965</v>
      </c>
      <c r="BA1138" s="46" t="s">
        <v>1966</v>
      </c>
      <c r="BC1138" s="34">
        <f t="shared" si="61"/>
        <v>0</v>
      </c>
      <c r="BD1138" s="34">
        <f t="shared" si="62"/>
        <v>0</v>
      </c>
      <c r="BE1138" s="34">
        <v>0</v>
      </c>
      <c r="BF1138" s="34">
        <f>1138</f>
        <v>1138</v>
      </c>
      <c r="BH1138" s="34">
        <f t="shared" si="63"/>
        <v>0</v>
      </c>
      <c r="BI1138" s="34">
        <f t="shared" si="64"/>
        <v>0</v>
      </c>
      <c r="BJ1138" s="34">
        <f t="shared" si="65"/>
        <v>0</v>
      </c>
      <c r="BK1138" s="34"/>
      <c r="BL1138" s="34">
        <v>728</v>
      </c>
      <c r="BW1138" s="34">
        <v>21</v>
      </c>
      <c r="BX1138" s="3" t="s">
        <v>2113</v>
      </c>
    </row>
    <row r="1139" spans="1:76" x14ac:dyDescent="0.25">
      <c r="A1139" s="1" t="s">
        <v>2114</v>
      </c>
      <c r="B1139" s="2" t="s">
        <v>87</v>
      </c>
      <c r="C1139" s="2" t="s">
        <v>2115</v>
      </c>
      <c r="D1139" s="86" t="s">
        <v>2116</v>
      </c>
      <c r="E1139" s="81"/>
      <c r="F1139" s="2" t="s">
        <v>258</v>
      </c>
      <c r="G1139" s="34">
        <v>1</v>
      </c>
      <c r="H1139" s="64">
        <v>0</v>
      </c>
      <c r="I1139" s="34">
        <f t="shared" si="46"/>
        <v>0</v>
      </c>
      <c r="J1139" s="65" t="s">
        <v>4</v>
      </c>
      <c r="K1139" s="59"/>
      <c r="Z1139" s="34">
        <f t="shared" si="47"/>
        <v>0</v>
      </c>
      <c r="AB1139" s="34">
        <f t="shared" si="48"/>
        <v>0</v>
      </c>
      <c r="AC1139" s="34">
        <f t="shared" si="49"/>
        <v>0</v>
      </c>
      <c r="AD1139" s="34">
        <f t="shared" si="50"/>
        <v>0</v>
      </c>
      <c r="AE1139" s="34">
        <f t="shared" si="51"/>
        <v>0</v>
      </c>
      <c r="AF1139" s="34">
        <f t="shared" si="52"/>
        <v>0</v>
      </c>
      <c r="AG1139" s="34">
        <f t="shared" si="53"/>
        <v>0</v>
      </c>
      <c r="AH1139" s="34">
        <f t="shared" si="54"/>
        <v>0</v>
      </c>
      <c r="AI1139" s="46" t="s">
        <v>87</v>
      </c>
      <c r="AJ1139" s="34">
        <f t="shared" si="55"/>
        <v>0</v>
      </c>
      <c r="AK1139" s="34">
        <f t="shared" si="56"/>
        <v>0</v>
      </c>
      <c r="AL1139" s="34">
        <f t="shared" si="57"/>
        <v>0</v>
      </c>
      <c r="AN1139" s="34">
        <v>21</v>
      </c>
      <c r="AO1139" s="34">
        <f>H1139*0</f>
        <v>0</v>
      </c>
      <c r="AP1139" s="34">
        <f>H1139*(1-0)</f>
        <v>0</v>
      </c>
      <c r="AQ1139" s="65" t="s">
        <v>175</v>
      </c>
      <c r="AV1139" s="34">
        <f t="shared" si="58"/>
        <v>0</v>
      </c>
      <c r="AW1139" s="34">
        <f t="shared" si="59"/>
        <v>0</v>
      </c>
      <c r="AX1139" s="34">
        <f t="shared" si="60"/>
        <v>0</v>
      </c>
      <c r="AY1139" s="65" t="s">
        <v>1964</v>
      </c>
      <c r="AZ1139" s="65" t="s">
        <v>1965</v>
      </c>
      <c r="BA1139" s="46" t="s">
        <v>1966</v>
      </c>
      <c r="BC1139" s="34">
        <f t="shared" si="61"/>
        <v>0</v>
      </c>
      <c r="BD1139" s="34">
        <f t="shared" si="62"/>
        <v>0</v>
      </c>
      <c r="BE1139" s="34">
        <v>0</v>
      </c>
      <c r="BF1139" s="34">
        <f>1139</f>
        <v>1139</v>
      </c>
      <c r="BH1139" s="34">
        <f t="shared" si="63"/>
        <v>0</v>
      </c>
      <c r="BI1139" s="34">
        <f t="shared" si="64"/>
        <v>0</v>
      </c>
      <c r="BJ1139" s="34">
        <f t="shared" si="65"/>
        <v>0</v>
      </c>
      <c r="BK1139" s="34"/>
      <c r="BL1139" s="34">
        <v>728</v>
      </c>
      <c r="BW1139" s="34">
        <v>21</v>
      </c>
      <c r="BX1139" s="3" t="s">
        <v>2116</v>
      </c>
    </row>
    <row r="1140" spans="1:76" x14ac:dyDescent="0.25">
      <c r="A1140" s="1" t="s">
        <v>2117</v>
      </c>
      <c r="B1140" s="2" t="s">
        <v>87</v>
      </c>
      <c r="C1140" s="2" t="s">
        <v>1968</v>
      </c>
      <c r="D1140" s="86" t="s">
        <v>2118</v>
      </c>
      <c r="E1140" s="81"/>
      <c r="F1140" s="2" t="s">
        <v>258</v>
      </c>
      <c r="G1140" s="34">
        <v>1</v>
      </c>
      <c r="H1140" s="64">
        <v>0</v>
      </c>
      <c r="I1140" s="34">
        <f t="shared" si="46"/>
        <v>0</v>
      </c>
      <c r="J1140" s="65" t="s">
        <v>4</v>
      </c>
      <c r="K1140" s="59"/>
      <c r="Z1140" s="34">
        <f t="shared" si="47"/>
        <v>0</v>
      </c>
      <c r="AB1140" s="34">
        <f t="shared" si="48"/>
        <v>0</v>
      </c>
      <c r="AC1140" s="34">
        <f t="shared" si="49"/>
        <v>0</v>
      </c>
      <c r="AD1140" s="34">
        <f t="shared" si="50"/>
        <v>0</v>
      </c>
      <c r="AE1140" s="34">
        <f t="shared" si="51"/>
        <v>0</v>
      </c>
      <c r="AF1140" s="34">
        <f t="shared" si="52"/>
        <v>0</v>
      </c>
      <c r="AG1140" s="34">
        <f t="shared" si="53"/>
        <v>0</v>
      </c>
      <c r="AH1140" s="34">
        <f t="shared" si="54"/>
        <v>0</v>
      </c>
      <c r="AI1140" s="46" t="s">
        <v>87</v>
      </c>
      <c r="AJ1140" s="34">
        <f t="shared" si="55"/>
        <v>0</v>
      </c>
      <c r="AK1140" s="34">
        <f t="shared" si="56"/>
        <v>0</v>
      </c>
      <c r="AL1140" s="34">
        <f t="shared" si="57"/>
        <v>0</v>
      </c>
      <c r="AN1140" s="34">
        <v>21</v>
      </c>
      <c r="AO1140" s="34">
        <f>H1140*1</f>
        <v>0</v>
      </c>
      <c r="AP1140" s="34">
        <f>H1140*(1-1)</f>
        <v>0</v>
      </c>
      <c r="AQ1140" s="65" t="s">
        <v>175</v>
      </c>
      <c r="AV1140" s="34">
        <f t="shared" si="58"/>
        <v>0</v>
      </c>
      <c r="AW1140" s="34">
        <f t="shared" si="59"/>
        <v>0</v>
      </c>
      <c r="AX1140" s="34">
        <f t="shared" si="60"/>
        <v>0</v>
      </c>
      <c r="AY1140" s="65" t="s">
        <v>1964</v>
      </c>
      <c r="AZ1140" s="65" t="s">
        <v>1965</v>
      </c>
      <c r="BA1140" s="46" t="s">
        <v>1966</v>
      </c>
      <c r="BC1140" s="34">
        <f t="shared" si="61"/>
        <v>0</v>
      </c>
      <c r="BD1140" s="34">
        <f t="shared" si="62"/>
        <v>0</v>
      </c>
      <c r="BE1140" s="34">
        <v>0</v>
      </c>
      <c r="BF1140" s="34">
        <f>1140</f>
        <v>1140</v>
      </c>
      <c r="BH1140" s="34">
        <f t="shared" si="63"/>
        <v>0</v>
      </c>
      <c r="BI1140" s="34">
        <f t="shared" si="64"/>
        <v>0</v>
      </c>
      <c r="BJ1140" s="34">
        <f t="shared" si="65"/>
        <v>0</v>
      </c>
      <c r="BK1140" s="34"/>
      <c r="BL1140" s="34">
        <v>728</v>
      </c>
      <c r="BW1140" s="34">
        <v>21</v>
      </c>
      <c r="BX1140" s="3" t="s">
        <v>2118</v>
      </c>
    </row>
    <row r="1141" spans="1:76" x14ac:dyDescent="0.25">
      <c r="A1141" s="1" t="s">
        <v>2119</v>
      </c>
      <c r="B1141" s="2" t="s">
        <v>87</v>
      </c>
      <c r="C1141" s="2" t="s">
        <v>2120</v>
      </c>
      <c r="D1141" s="86" t="s">
        <v>2121</v>
      </c>
      <c r="E1141" s="81"/>
      <c r="F1141" s="2" t="s">
        <v>178</v>
      </c>
      <c r="G1141" s="34">
        <v>0.94603000000000004</v>
      </c>
      <c r="H1141" s="64">
        <v>0</v>
      </c>
      <c r="I1141" s="34">
        <f t="shared" si="46"/>
        <v>0</v>
      </c>
      <c r="J1141" s="65" t="s">
        <v>4</v>
      </c>
      <c r="K1141" s="59"/>
      <c r="Z1141" s="34">
        <f t="shared" si="47"/>
        <v>0</v>
      </c>
      <c r="AB1141" s="34">
        <f t="shared" si="48"/>
        <v>0</v>
      </c>
      <c r="AC1141" s="34">
        <f t="shared" si="49"/>
        <v>0</v>
      </c>
      <c r="AD1141" s="34">
        <f t="shared" si="50"/>
        <v>0</v>
      </c>
      <c r="AE1141" s="34">
        <f t="shared" si="51"/>
        <v>0</v>
      </c>
      <c r="AF1141" s="34">
        <f t="shared" si="52"/>
        <v>0</v>
      </c>
      <c r="AG1141" s="34">
        <f t="shared" si="53"/>
        <v>0</v>
      </c>
      <c r="AH1141" s="34">
        <f t="shared" si="54"/>
        <v>0</v>
      </c>
      <c r="AI1141" s="46" t="s">
        <v>87</v>
      </c>
      <c r="AJ1141" s="34">
        <f t="shared" si="55"/>
        <v>0</v>
      </c>
      <c r="AK1141" s="34">
        <f t="shared" si="56"/>
        <v>0</v>
      </c>
      <c r="AL1141" s="34">
        <f t="shared" si="57"/>
        <v>0</v>
      </c>
      <c r="AN1141" s="34">
        <v>21</v>
      </c>
      <c r="AO1141" s="34">
        <f>H1141*0</f>
        <v>0</v>
      </c>
      <c r="AP1141" s="34">
        <f>H1141*(1-0)</f>
        <v>0</v>
      </c>
      <c r="AQ1141" s="65" t="s">
        <v>175</v>
      </c>
      <c r="AV1141" s="34">
        <f t="shared" si="58"/>
        <v>0</v>
      </c>
      <c r="AW1141" s="34">
        <f t="shared" si="59"/>
        <v>0</v>
      </c>
      <c r="AX1141" s="34">
        <f t="shared" si="60"/>
        <v>0</v>
      </c>
      <c r="AY1141" s="65" t="s">
        <v>1964</v>
      </c>
      <c r="AZ1141" s="65" t="s">
        <v>1965</v>
      </c>
      <c r="BA1141" s="46" t="s">
        <v>1966</v>
      </c>
      <c r="BC1141" s="34">
        <f t="shared" si="61"/>
        <v>0</v>
      </c>
      <c r="BD1141" s="34">
        <f t="shared" si="62"/>
        <v>0</v>
      </c>
      <c r="BE1141" s="34">
        <v>0</v>
      </c>
      <c r="BF1141" s="34">
        <f>1141</f>
        <v>1141</v>
      </c>
      <c r="BH1141" s="34">
        <f t="shared" si="63"/>
        <v>0</v>
      </c>
      <c r="BI1141" s="34">
        <f t="shared" si="64"/>
        <v>0</v>
      </c>
      <c r="BJ1141" s="34">
        <f t="shared" si="65"/>
        <v>0</v>
      </c>
      <c r="BK1141" s="34"/>
      <c r="BL1141" s="34">
        <v>728</v>
      </c>
      <c r="BW1141" s="34">
        <v>21</v>
      </c>
      <c r="BX1141" s="3" t="s">
        <v>2121</v>
      </c>
    </row>
    <row r="1142" spans="1:76" x14ac:dyDescent="0.25">
      <c r="A1142" s="60" t="s">
        <v>4</v>
      </c>
      <c r="B1142" s="61" t="s">
        <v>87</v>
      </c>
      <c r="C1142" s="61" t="s">
        <v>1899</v>
      </c>
      <c r="D1142" s="167" t="s">
        <v>36</v>
      </c>
      <c r="E1142" s="168"/>
      <c r="F1142" s="62" t="s">
        <v>79</v>
      </c>
      <c r="G1142" s="62" t="s">
        <v>79</v>
      </c>
      <c r="H1142" s="63" t="s">
        <v>79</v>
      </c>
      <c r="I1142" s="39">
        <f>SUM(I1143:I1143)</f>
        <v>0</v>
      </c>
      <c r="J1142" s="46" t="s">
        <v>4</v>
      </c>
      <c r="K1142" s="59"/>
      <c r="AI1142" s="46" t="s">
        <v>87</v>
      </c>
      <c r="AS1142" s="39">
        <f>SUM(AJ1143:AJ1143)</f>
        <v>0</v>
      </c>
      <c r="AT1142" s="39">
        <f>SUM(AK1143:AK1143)</f>
        <v>0</v>
      </c>
      <c r="AU1142" s="39">
        <f>SUM(AL1143:AL1143)</f>
        <v>0</v>
      </c>
    </row>
    <row r="1143" spans="1:76" x14ac:dyDescent="0.25">
      <c r="A1143" s="1" t="s">
        <v>2122</v>
      </c>
      <c r="B1143" s="2" t="s">
        <v>87</v>
      </c>
      <c r="C1143" s="2" t="s">
        <v>2123</v>
      </c>
      <c r="D1143" s="86" t="s">
        <v>2124</v>
      </c>
      <c r="E1143" s="81"/>
      <c r="F1143" s="2" t="s">
        <v>132</v>
      </c>
      <c r="G1143" s="34">
        <v>9.1999999999999993</v>
      </c>
      <c r="H1143" s="64">
        <v>0</v>
      </c>
      <c r="I1143" s="34">
        <f>ROUND(G1143*H1143,2)</f>
        <v>0</v>
      </c>
      <c r="J1143" s="65" t="s">
        <v>4</v>
      </c>
      <c r="K1143" s="59"/>
      <c r="Z1143" s="34">
        <f>ROUND(IF(AQ1143="5",BJ1143,0),2)</f>
        <v>0</v>
      </c>
      <c r="AB1143" s="34">
        <f>ROUND(IF(AQ1143="1",BH1143,0),2)</f>
        <v>0</v>
      </c>
      <c r="AC1143" s="34">
        <f>ROUND(IF(AQ1143="1",BI1143,0),2)</f>
        <v>0</v>
      </c>
      <c r="AD1143" s="34">
        <f>ROUND(IF(AQ1143="7",BH1143,0),2)</f>
        <v>0</v>
      </c>
      <c r="AE1143" s="34">
        <f>ROUND(IF(AQ1143="7",BI1143,0),2)</f>
        <v>0</v>
      </c>
      <c r="AF1143" s="34">
        <f>ROUND(IF(AQ1143="2",BH1143,0),2)</f>
        <v>0</v>
      </c>
      <c r="AG1143" s="34">
        <f>ROUND(IF(AQ1143="2",BI1143,0),2)</f>
        <v>0</v>
      </c>
      <c r="AH1143" s="34">
        <f>ROUND(IF(AQ1143="0",BJ1143,0),2)</f>
        <v>0</v>
      </c>
      <c r="AI1143" s="46" t="s">
        <v>87</v>
      </c>
      <c r="AJ1143" s="34">
        <f>IF(AN1143=0,I1143,0)</f>
        <v>0</v>
      </c>
      <c r="AK1143" s="34">
        <f>IF(AN1143=12,I1143,0)</f>
        <v>0</v>
      </c>
      <c r="AL1143" s="34">
        <f>IF(AN1143=21,I1143,0)</f>
        <v>0</v>
      </c>
      <c r="AN1143" s="34">
        <v>21</v>
      </c>
      <c r="AO1143" s="34">
        <f>H1143*1</f>
        <v>0</v>
      </c>
      <c r="AP1143" s="34">
        <f>H1143*(1-1)</f>
        <v>0</v>
      </c>
      <c r="AQ1143" s="65" t="s">
        <v>1903</v>
      </c>
      <c r="AV1143" s="34">
        <f>ROUND(AW1143+AX1143,2)</f>
        <v>0</v>
      </c>
      <c r="AW1143" s="34">
        <f>ROUND(G1143*AO1143,2)</f>
        <v>0</v>
      </c>
      <c r="AX1143" s="34">
        <f>ROUND(G1143*AP1143,2)</f>
        <v>0</v>
      </c>
      <c r="AY1143" s="65" t="s">
        <v>1904</v>
      </c>
      <c r="AZ1143" s="65" t="s">
        <v>2125</v>
      </c>
      <c r="BA1143" s="46" t="s">
        <v>1966</v>
      </c>
      <c r="BC1143" s="34">
        <f>AW1143+AX1143</f>
        <v>0</v>
      </c>
      <c r="BD1143" s="34">
        <f>H1143/(100-BE1143)*100</f>
        <v>0</v>
      </c>
      <c r="BE1143" s="34">
        <v>0</v>
      </c>
      <c r="BF1143" s="34">
        <f>1143</f>
        <v>1143</v>
      </c>
      <c r="BH1143" s="34">
        <f>G1143*AO1143</f>
        <v>0</v>
      </c>
      <c r="BI1143" s="34">
        <f>G1143*AP1143</f>
        <v>0</v>
      </c>
      <c r="BJ1143" s="34">
        <f>G1143*H1143</f>
        <v>0</v>
      </c>
      <c r="BK1143" s="34"/>
      <c r="BL1143" s="34"/>
      <c r="BW1143" s="34">
        <v>21</v>
      </c>
      <c r="BX1143" s="3" t="s">
        <v>2124</v>
      </c>
    </row>
    <row r="1144" spans="1:76" x14ac:dyDescent="0.25">
      <c r="A1144" s="60" t="s">
        <v>4</v>
      </c>
      <c r="B1144" s="61" t="s">
        <v>89</v>
      </c>
      <c r="C1144" s="61" t="s">
        <v>4</v>
      </c>
      <c r="D1144" s="167" t="s">
        <v>90</v>
      </c>
      <c r="E1144" s="168"/>
      <c r="F1144" s="62" t="s">
        <v>79</v>
      </c>
      <c r="G1144" s="62" t="s">
        <v>79</v>
      </c>
      <c r="H1144" s="63" t="s">
        <v>79</v>
      </c>
      <c r="I1144" s="39">
        <f>I1145+I1156+I1169</f>
        <v>0</v>
      </c>
      <c r="J1144" s="46" t="s">
        <v>4</v>
      </c>
      <c r="K1144" s="59"/>
    </row>
    <row r="1145" spans="1:76" x14ac:dyDescent="0.25">
      <c r="A1145" s="60" t="s">
        <v>4</v>
      </c>
      <c r="B1145" s="61" t="s">
        <v>89</v>
      </c>
      <c r="C1145" s="61" t="s">
        <v>2126</v>
      </c>
      <c r="D1145" s="167" t="s">
        <v>2127</v>
      </c>
      <c r="E1145" s="168"/>
      <c r="F1145" s="62" t="s">
        <v>79</v>
      </c>
      <c r="G1145" s="62" t="s">
        <v>79</v>
      </c>
      <c r="H1145" s="63" t="s">
        <v>79</v>
      </c>
      <c r="I1145" s="39">
        <f>SUM(I1146:I1155)</f>
        <v>0</v>
      </c>
      <c r="J1145" s="46" t="s">
        <v>4</v>
      </c>
      <c r="K1145" s="59"/>
      <c r="AI1145" s="46" t="s">
        <v>89</v>
      </c>
      <c r="AS1145" s="39">
        <f>SUM(AJ1146:AJ1155)</f>
        <v>0</v>
      </c>
      <c r="AT1145" s="39">
        <f>SUM(AK1146:AK1155)</f>
        <v>0</v>
      </c>
      <c r="AU1145" s="39">
        <f>SUM(AL1146:AL1155)</f>
        <v>0</v>
      </c>
    </row>
    <row r="1146" spans="1:76" x14ac:dyDescent="0.25">
      <c r="A1146" s="1" t="s">
        <v>2128</v>
      </c>
      <c r="B1146" s="2" t="s">
        <v>89</v>
      </c>
      <c r="C1146" s="2" t="s">
        <v>2129</v>
      </c>
      <c r="D1146" s="86" t="s">
        <v>2130</v>
      </c>
      <c r="E1146" s="81"/>
      <c r="F1146" s="2" t="s">
        <v>239</v>
      </c>
      <c r="G1146" s="34">
        <v>93</v>
      </c>
      <c r="H1146" s="64">
        <v>0</v>
      </c>
      <c r="I1146" s="34">
        <f t="shared" ref="I1146:I1155" si="66">ROUND(G1146*H1146,2)</f>
        <v>0</v>
      </c>
      <c r="J1146" s="65" t="s">
        <v>4</v>
      </c>
      <c r="K1146" s="59"/>
      <c r="Z1146" s="34">
        <f t="shared" ref="Z1146:Z1155" si="67">ROUND(IF(AQ1146="5",BJ1146,0),2)</f>
        <v>0</v>
      </c>
      <c r="AB1146" s="34">
        <f t="shared" ref="AB1146:AB1155" si="68">ROUND(IF(AQ1146="1",BH1146,0),2)</f>
        <v>0</v>
      </c>
      <c r="AC1146" s="34">
        <f t="shared" ref="AC1146:AC1155" si="69">ROUND(IF(AQ1146="1",BI1146,0),2)</f>
        <v>0</v>
      </c>
      <c r="AD1146" s="34">
        <f t="shared" ref="AD1146:AD1155" si="70">ROUND(IF(AQ1146="7",BH1146,0),2)</f>
        <v>0</v>
      </c>
      <c r="AE1146" s="34">
        <f t="shared" ref="AE1146:AE1155" si="71">ROUND(IF(AQ1146="7",BI1146,0),2)</f>
        <v>0</v>
      </c>
      <c r="AF1146" s="34">
        <f t="shared" ref="AF1146:AF1155" si="72">ROUND(IF(AQ1146="2",BH1146,0),2)</f>
        <v>0</v>
      </c>
      <c r="AG1146" s="34">
        <f t="shared" ref="AG1146:AG1155" si="73">ROUND(IF(AQ1146="2",BI1146,0),2)</f>
        <v>0</v>
      </c>
      <c r="AH1146" s="34">
        <f t="shared" ref="AH1146:AH1155" si="74">ROUND(IF(AQ1146="0",BJ1146,0),2)</f>
        <v>0</v>
      </c>
      <c r="AI1146" s="46" t="s">
        <v>89</v>
      </c>
      <c r="AJ1146" s="34">
        <f t="shared" ref="AJ1146:AJ1155" si="75">IF(AN1146=0,I1146,0)</f>
        <v>0</v>
      </c>
      <c r="AK1146" s="34">
        <f t="shared" ref="AK1146:AK1155" si="76">IF(AN1146=12,I1146,0)</f>
        <v>0</v>
      </c>
      <c r="AL1146" s="34">
        <f t="shared" ref="AL1146:AL1155" si="77">IF(AN1146=21,I1146,0)</f>
        <v>0</v>
      </c>
      <c r="AN1146" s="34">
        <v>21</v>
      </c>
      <c r="AO1146" s="34">
        <f t="shared" ref="AO1146:AO1155" si="78">H1146*0</f>
        <v>0</v>
      </c>
      <c r="AP1146" s="34">
        <f t="shared" ref="AP1146:AP1155" si="79">H1146*(1-0)</f>
        <v>0</v>
      </c>
      <c r="AQ1146" s="65" t="s">
        <v>175</v>
      </c>
      <c r="AV1146" s="34">
        <f t="shared" ref="AV1146:AV1155" si="80">ROUND(AW1146+AX1146,2)</f>
        <v>0</v>
      </c>
      <c r="AW1146" s="34">
        <f t="shared" ref="AW1146:AW1155" si="81">ROUND(G1146*AO1146,2)</f>
        <v>0</v>
      </c>
      <c r="AX1146" s="34">
        <f t="shared" ref="AX1146:AX1155" si="82">ROUND(G1146*AP1146,2)</f>
        <v>0</v>
      </c>
      <c r="AY1146" s="65" t="s">
        <v>2131</v>
      </c>
      <c r="AZ1146" s="65" t="s">
        <v>2132</v>
      </c>
      <c r="BA1146" s="46" t="s">
        <v>2133</v>
      </c>
      <c r="BC1146" s="34">
        <f t="shared" ref="BC1146:BC1155" si="83">AW1146+AX1146</f>
        <v>0</v>
      </c>
      <c r="BD1146" s="34">
        <f t="shared" ref="BD1146:BD1155" si="84">H1146/(100-BE1146)*100</f>
        <v>0</v>
      </c>
      <c r="BE1146" s="34">
        <v>0</v>
      </c>
      <c r="BF1146" s="34">
        <f>1146</f>
        <v>1146</v>
      </c>
      <c r="BH1146" s="34">
        <f t="shared" ref="BH1146:BH1155" si="85">G1146*AO1146</f>
        <v>0</v>
      </c>
      <c r="BI1146" s="34">
        <f t="shared" ref="BI1146:BI1155" si="86">G1146*AP1146</f>
        <v>0</v>
      </c>
      <c r="BJ1146" s="34">
        <f t="shared" ref="BJ1146:BJ1155" si="87">G1146*H1146</f>
        <v>0</v>
      </c>
      <c r="BK1146" s="34"/>
      <c r="BL1146" s="34">
        <v>733</v>
      </c>
      <c r="BW1146" s="34">
        <v>21</v>
      </c>
      <c r="BX1146" s="3" t="s">
        <v>2130</v>
      </c>
    </row>
    <row r="1147" spans="1:76" x14ac:dyDescent="0.25">
      <c r="A1147" s="1" t="s">
        <v>2134</v>
      </c>
      <c r="B1147" s="2" t="s">
        <v>89</v>
      </c>
      <c r="C1147" s="2" t="s">
        <v>2135</v>
      </c>
      <c r="D1147" s="86" t="s">
        <v>2136</v>
      </c>
      <c r="E1147" s="81"/>
      <c r="F1147" s="2" t="s">
        <v>239</v>
      </c>
      <c r="G1147" s="34">
        <v>10</v>
      </c>
      <c r="H1147" s="64">
        <v>0</v>
      </c>
      <c r="I1147" s="34">
        <f t="shared" si="66"/>
        <v>0</v>
      </c>
      <c r="J1147" s="65" t="s">
        <v>4</v>
      </c>
      <c r="K1147" s="59"/>
      <c r="Z1147" s="34">
        <f t="shared" si="67"/>
        <v>0</v>
      </c>
      <c r="AB1147" s="34">
        <f t="shared" si="68"/>
        <v>0</v>
      </c>
      <c r="AC1147" s="34">
        <f t="shared" si="69"/>
        <v>0</v>
      </c>
      <c r="AD1147" s="34">
        <f t="shared" si="70"/>
        <v>0</v>
      </c>
      <c r="AE1147" s="34">
        <f t="shared" si="71"/>
        <v>0</v>
      </c>
      <c r="AF1147" s="34">
        <f t="shared" si="72"/>
        <v>0</v>
      </c>
      <c r="AG1147" s="34">
        <f t="shared" si="73"/>
        <v>0</v>
      </c>
      <c r="AH1147" s="34">
        <f t="shared" si="74"/>
        <v>0</v>
      </c>
      <c r="AI1147" s="46" t="s">
        <v>89</v>
      </c>
      <c r="AJ1147" s="34">
        <f t="shared" si="75"/>
        <v>0</v>
      </c>
      <c r="AK1147" s="34">
        <f t="shared" si="76"/>
        <v>0</v>
      </c>
      <c r="AL1147" s="34">
        <f t="shared" si="77"/>
        <v>0</v>
      </c>
      <c r="AN1147" s="34">
        <v>21</v>
      </c>
      <c r="AO1147" s="34">
        <f t="shared" si="78"/>
        <v>0</v>
      </c>
      <c r="AP1147" s="34">
        <f t="shared" si="79"/>
        <v>0</v>
      </c>
      <c r="AQ1147" s="65" t="s">
        <v>175</v>
      </c>
      <c r="AV1147" s="34">
        <f t="shared" si="80"/>
        <v>0</v>
      </c>
      <c r="AW1147" s="34">
        <f t="shared" si="81"/>
        <v>0</v>
      </c>
      <c r="AX1147" s="34">
        <f t="shared" si="82"/>
        <v>0</v>
      </c>
      <c r="AY1147" s="65" t="s">
        <v>2131</v>
      </c>
      <c r="AZ1147" s="65" t="s">
        <v>2132</v>
      </c>
      <c r="BA1147" s="46" t="s">
        <v>2133</v>
      </c>
      <c r="BC1147" s="34">
        <f t="shared" si="83"/>
        <v>0</v>
      </c>
      <c r="BD1147" s="34">
        <f t="shared" si="84"/>
        <v>0</v>
      </c>
      <c r="BE1147" s="34">
        <v>0</v>
      </c>
      <c r="BF1147" s="34">
        <f>1147</f>
        <v>1147</v>
      </c>
      <c r="BH1147" s="34">
        <f t="shared" si="85"/>
        <v>0</v>
      </c>
      <c r="BI1147" s="34">
        <f t="shared" si="86"/>
        <v>0</v>
      </c>
      <c r="BJ1147" s="34">
        <f t="shared" si="87"/>
        <v>0</v>
      </c>
      <c r="BK1147" s="34"/>
      <c r="BL1147" s="34">
        <v>733</v>
      </c>
      <c r="BW1147" s="34">
        <v>21</v>
      </c>
      <c r="BX1147" s="3" t="s">
        <v>2136</v>
      </c>
    </row>
    <row r="1148" spans="1:76" x14ac:dyDescent="0.25">
      <c r="A1148" s="1" t="s">
        <v>2137</v>
      </c>
      <c r="B1148" s="2" t="s">
        <v>89</v>
      </c>
      <c r="C1148" s="2" t="s">
        <v>2138</v>
      </c>
      <c r="D1148" s="86" t="s">
        <v>2139</v>
      </c>
      <c r="E1148" s="81"/>
      <c r="F1148" s="2" t="s">
        <v>239</v>
      </c>
      <c r="G1148" s="34">
        <v>19</v>
      </c>
      <c r="H1148" s="64">
        <v>0</v>
      </c>
      <c r="I1148" s="34">
        <f t="shared" si="66"/>
        <v>0</v>
      </c>
      <c r="J1148" s="65" t="s">
        <v>4</v>
      </c>
      <c r="K1148" s="59"/>
      <c r="Z1148" s="34">
        <f t="shared" si="67"/>
        <v>0</v>
      </c>
      <c r="AB1148" s="34">
        <f t="shared" si="68"/>
        <v>0</v>
      </c>
      <c r="AC1148" s="34">
        <f t="shared" si="69"/>
        <v>0</v>
      </c>
      <c r="AD1148" s="34">
        <f t="shared" si="70"/>
        <v>0</v>
      </c>
      <c r="AE1148" s="34">
        <f t="shared" si="71"/>
        <v>0</v>
      </c>
      <c r="AF1148" s="34">
        <f t="shared" si="72"/>
        <v>0</v>
      </c>
      <c r="AG1148" s="34">
        <f t="shared" si="73"/>
        <v>0</v>
      </c>
      <c r="AH1148" s="34">
        <f t="shared" si="74"/>
        <v>0</v>
      </c>
      <c r="AI1148" s="46" t="s">
        <v>89</v>
      </c>
      <c r="AJ1148" s="34">
        <f t="shared" si="75"/>
        <v>0</v>
      </c>
      <c r="AK1148" s="34">
        <f t="shared" si="76"/>
        <v>0</v>
      </c>
      <c r="AL1148" s="34">
        <f t="shared" si="77"/>
        <v>0</v>
      </c>
      <c r="AN1148" s="34">
        <v>21</v>
      </c>
      <c r="AO1148" s="34">
        <f t="shared" si="78"/>
        <v>0</v>
      </c>
      <c r="AP1148" s="34">
        <f t="shared" si="79"/>
        <v>0</v>
      </c>
      <c r="AQ1148" s="65" t="s">
        <v>175</v>
      </c>
      <c r="AV1148" s="34">
        <f t="shared" si="80"/>
        <v>0</v>
      </c>
      <c r="AW1148" s="34">
        <f t="shared" si="81"/>
        <v>0</v>
      </c>
      <c r="AX1148" s="34">
        <f t="shared" si="82"/>
        <v>0</v>
      </c>
      <c r="AY1148" s="65" t="s">
        <v>2131</v>
      </c>
      <c r="AZ1148" s="65" t="s">
        <v>2132</v>
      </c>
      <c r="BA1148" s="46" t="s">
        <v>2133</v>
      </c>
      <c r="BC1148" s="34">
        <f t="shared" si="83"/>
        <v>0</v>
      </c>
      <c r="BD1148" s="34">
        <f t="shared" si="84"/>
        <v>0</v>
      </c>
      <c r="BE1148" s="34">
        <v>0</v>
      </c>
      <c r="BF1148" s="34">
        <f>1148</f>
        <v>1148</v>
      </c>
      <c r="BH1148" s="34">
        <f t="shared" si="85"/>
        <v>0</v>
      </c>
      <c r="BI1148" s="34">
        <f t="shared" si="86"/>
        <v>0</v>
      </c>
      <c r="BJ1148" s="34">
        <f t="shared" si="87"/>
        <v>0</v>
      </c>
      <c r="BK1148" s="34"/>
      <c r="BL1148" s="34">
        <v>733</v>
      </c>
      <c r="BW1148" s="34">
        <v>21</v>
      </c>
      <c r="BX1148" s="3" t="s">
        <v>2139</v>
      </c>
    </row>
    <row r="1149" spans="1:76" x14ac:dyDescent="0.25">
      <c r="A1149" s="1" t="s">
        <v>2140</v>
      </c>
      <c r="B1149" s="2" t="s">
        <v>89</v>
      </c>
      <c r="C1149" s="2" t="s">
        <v>2141</v>
      </c>
      <c r="D1149" s="86" t="s">
        <v>2142</v>
      </c>
      <c r="E1149" s="81"/>
      <c r="F1149" s="2" t="s">
        <v>258</v>
      </c>
      <c r="G1149" s="34">
        <v>30</v>
      </c>
      <c r="H1149" s="64">
        <v>0</v>
      </c>
      <c r="I1149" s="34">
        <f t="shared" si="66"/>
        <v>0</v>
      </c>
      <c r="J1149" s="65" t="s">
        <v>4</v>
      </c>
      <c r="K1149" s="59"/>
      <c r="Z1149" s="34">
        <f t="shared" si="67"/>
        <v>0</v>
      </c>
      <c r="AB1149" s="34">
        <f t="shared" si="68"/>
        <v>0</v>
      </c>
      <c r="AC1149" s="34">
        <f t="shared" si="69"/>
        <v>0</v>
      </c>
      <c r="AD1149" s="34">
        <f t="shared" si="70"/>
        <v>0</v>
      </c>
      <c r="AE1149" s="34">
        <f t="shared" si="71"/>
        <v>0</v>
      </c>
      <c r="AF1149" s="34">
        <f t="shared" si="72"/>
        <v>0</v>
      </c>
      <c r="AG1149" s="34">
        <f t="shared" si="73"/>
        <v>0</v>
      </c>
      <c r="AH1149" s="34">
        <f t="shared" si="74"/>
        <v>0</v>
      </c>
      <c r="AI1149" s="46" t="s">
        <v>89</v>
      </c>
      <c r="AJ1149" s="34">
        <f t="shared" si="75"/>
        <v>0</v>
      </c>
      <c r="AK1149" s="34">
        <f t="shared" si="76"/>
        <v>0</v>
      </c>
      <c r="AL1149" s="34">
        <f t="shared" si="77"/>
        <v>0</v>
      </c>
      <c r="AN1149" s="34">
        <v>21</v>
      </c>
      <c r="AO1149" s="34">
        <f t="shared" si="78"/>
        <v>0</v>
      </c>
      <c r="AP1149" s="34">
        <f t="shared" si="79"/>
        <v>0</v>
      </c>
      <c r="AQ1149" s="65" t="s">
        <v>175</v>
      </c>
      <c r="AV1149" s="34">
        <f t="shared" si="80"/>
        <v>0</v>
      </c>
      <c r="AW1149" s="34">
        <f t="shared" si="81"/>
        <v>0</v>
      </c>
      <c r="AX1149" s="34">
        <f t="shared" si="82"/>
        <v>0</v>
      </c>
      <c r="AY1149" s="65" t="s">
        <v>2131</v>
      </c>
      <c r="AZ1149" s="65" t="s">
        <v>2132</v>
      </c>
      <c r="BA1149" s="46" t="s">
        <v>2133</v>
      </c>
      <c r="BC1149" s="34">
        <f t="shared" si="83"/>
        <v>0</v>
      </c>
      <c r="BD1149" s="34">
        <f t="shared" si="84"/>
        <v>0</v>
      </c>
      <c r="BE1149" s="34">
        <v>0</v>
      </c>
      <c r="BF1149" s="34">
        <f>1149</f>
        <v>1149</v>
      </c>
      <c r="BH1149" s="34">
        <f t="shared" si="85"/>
        <v>0</v>
      </c>
      <c r="BI1149" s="34">
        <f t="shared" si="86"/>
        <v>0</v>
      </c>
      <c r="BJ1149" s="34">
        <f t="shared" si="87"/>
        <v>0</v>
      </c>
      <c r="BK1149" s="34"/>
      <c r="BL1149" s="34">
        <v>733</v>
      </c>
      <c r="BW1149" s="34">
        <v>21</v>
      </c>
      <c r="BX1149" s="3" t="s">
        <v>2142</v>
      </c>
    </row>
    <row r="1150" spans="1:76" x14ac:dyDescent="0.25">
      <c r="A1150" s="1" t="s">
        <v>2143</v>
      </c>
      <c r="B1150" s="2" t="s">
        <v>89</v>
      </c>
      <c r="C1150" s="2" t="s">
        <v>2144</v>
      </c>
      <c r="D1150" s="86" t="s">
        <v>2145</v>
      </c>
      <c r="E1150" s="81"/>
      <c r="F1150" s="2" t="s">
        <v>239</v>
      </c>
      <c r="G1150" s="34">
        <v>132</v>
      </c>
      <c r="H1150" s="64">
        <v>0</v>
      </c>
      <c r="I1150" s="34">
        <f t="shared" si="66"/>
        <v>0</v>
      </c>
      <c r="J1150" s="65" t="s">
        <v>4</v>
      </c>
      <c r="K1150" s="59"/>
      <c r="Z1150" s="34">
        <f t="shared" si="67"/>
        <v>0</v>
      </c>
      <c r="AB1150" s="34">
        <f t="shared" si="68"/>
        <v>0</v>
      </c>
      <c r="AC1150" s="34">
        <f t="shared" si="69"/>
        <v>0</v>
      </c>
      <c r="AD1150" s="34">
        <f t="shared" si="70"/>
        <v>0</v>
      </c>
      <c r="AE1150" s="34">
        <f t="shared" si="71"/>
        <v>0</v>
      </c>
      <c r="AF1150" s="34">
        <f t="shared" si="72"/>
        <v>0</v>
      </c>
      <c r="AG1150" s="34">
        <f t="shared" si="73"/>
        <v>0</v>
      </c>
      <c r="AH1150" s="34">
        <f t="shared" si="74"/>
        <v>0</v>
      </c>
      <c r="AI1150" s="46" t="s">
        <v>89</v>
      </c>
      <c r="AJ1150" s="34">
        <f t="shared" si="75"/>
        <v>0</v>
      </c>
      <c r="AK1150" s="34">
        <f t="shared" si="76"/>
        <v>0</v>
      </c>
      <c r="AL1150" s="34">
        <f t="shared" si="77"/>
        <v>0</v>
      </c>
      <c r="AN1150" s="34">
        <v>21</v>
      </c>
      <c r="AO1150" s="34">
        <f t="shared" si="78"/>
        <v>0</v>
      </c>
      <c r="AP1150" s="34">
        <f t="shared" si="79"/>
        <v>0</v>
      </c>
      <c r="AQ1150" s="65" t="s">
        <v>175</v>
      </c>
      <c r="AV1150" s="34">
        <f t="shared" si="80"/>
        <v>0</v>
      </c>
      <c r="AW1150" s="34">
        <f t="shared" si="81"/>
        <v>0</v>
      </c>
      <c r="AX1150" s="34">
        <f t="shared" si="82"/>
        <v>0</v>
      </c>
      <c r="AY1150" s="65" t="s">
        <v>2131</v>
      </c>
      <c r="AZ1150" s="65" t="s">
        <v>2132</v>
      </c>
      <c r="BA1150" s="46" t="s">
        <v>2133</v>
      </c>
      <c r="BC1150" s="34">
        <f t="shared" si="83"/>
        <v>0</v>
      </c>
      <c r="BD1150" s="34">
        <f t="shared" si="84"/>
        <v>0</v>
      </c>
      <c r="BE1150" s="34">
        <v>0</v>
      </c>
      <c r="BF1150" s="34">
        <f>1150</f>
        <v>1150</v>
      </c>
      <c r="BH1150" s="34">
        <f t="shared" si="85"/>
        <v>0</v>
      </c>
      <c r="BI1150" s="34">
        <f t="shared" si="86"/>
        <v>0</v>
      </c>
      <c r="BJ1150" s="34">
        <f t="shared" si="87"/>
        <v>0</v>
      </c>
      <c r="BK1150" s="34"/>
      <c r="BL1150" s="34">
        <v>733</v>
      </c>
      <c r="BW1150" s="34">
        <v>21</v>
      </c>
      <c r="BX1150" s="3" t="s">
        <v>2145</v>
      </c>
    </row>
    <row r="1151" spans="1:76" x14ac:dyDescent="0.25">
      <c r="A1151" s="1" t="s">
        <v>2146</v>
      </c>
      <c r="B1151" s="2" t="s">
        <v>89</v>
      </c>
      <c r="C1151" s="2" t="s">
        <v>2147</v>
      </c>
      <c r="D1151" s="86" t="s">
        <v>2148</v>
      </c>
      <c r="E1151" s="81"/>
      <c r="F1151" s="2" t="s">
        <v>239</v>
      </c>
      <c r="G1151" s="34">
        <v>30</v>
      </c>
      <c r="H1151" s="64">
        <v>0</v>
      </c>
      <c r="I1151" s="34">
        <f t="shared" si="66"/>
        <v>0</v>
      </c>
      <c r="J1151" s="65" t="s">
        <v>4</v>
      </c>
      <c r="K1151" s="59"/>
      <c r="Z1151" s="34">
        <f t="shared" si="67"/>
        <v>0</v>
      </c>
      <c r="AB1151" s="34">
        <f t="shared" si="68"/>
        <v>0</v>
      </c>
      <c r="AC1151" s="34">
        <f t="shared" si="69"/>
        <v>0</v>
      </c>
      <c r="AD1151" s="34">
        <f t="shared" si="70"/>
        <v>0</v>
      </c>
      <c r="AE1151" s="34">
        <f t="shared" si="71"/>
        <v>0</v>
      </c>
      <c r="AF1151" s="34">
        <f t="shared" si="72"/>
        <v>0</v>
      </c>
      <c r="AG1151" s="34">
        <f t="shared" si="73"/>
        <v>0</v>
      </c>
      <c r="AH1151" s="34">
        <f t="shared" si="74"/>
        <v>0</v>
      </c>
      <c r="AI1151" s="46" t="s">
        <v>89</v>
      </c>
      <c r="AJ1151" s="34">
        <f t="shared" si="75"/>
        <v>0</v>
      </c>
      <c r="AK1151" s="34">
        <f t="shared" si="76"/>
        <v>0</v>
      </c>
      <c r="AL1151" s="34">
        <f t="shared" si="77"/>
        <v>0</v>
      </c>
      <c r="AN1151" s="34">
        <v>21</v>
      </c>
      <c r="AO1151" s="34">
        <f t="shared" si="78"/>
        <v>0</v>
      </c>
      <c r="AP1151" s="34">
        <f t="shared" si="79"/>
        <v>0</v>
      </c>
      <c r="AQ1151" s="65" t="s">
        <v>175</v>
      </c>
      <c r="AV1151" s="34">
        <f t="shared" si="80"/>
        <v>0</v>
      </c>
      <c r="AW1151" s="34">
        <f t="shared" si="81"/>
        <v>0</v>
      </c>
      <c r="AX1151" s="34">
        <f t="shared" si="82"/>
        <v>0</v>
      </c>
      <c r="AY1151" s="65" t="s">
        <v>2131</v>
      </c>
      <c r="AZ1151" s="65" t="s">
        <v>2132</v>
      </c>
      <c r="BA1151" s="46" t="s">
        <v>2133</v>
      </c>
      <c r="BC1151" s="34">
        <f t="shared" si="83"/>
        <v>0</v>
      </c>
      <c r="BD1151" s="34">
        <f t="shared" si="84"/>
        <v>0</v>
      </c>
      <c r="BE1151" s="34">
        <v>0</v>
      </c>
      <c r="BF1151" s="34">
        <f>1151</f>
        <v>1151</v>
      </c>
      <c r="BH1151" s="34">
        <f t="shared" si="85"/>
        <v>0</v>
      </c>
      <c r="BI1151" s="34">
        <f t="shared" si="86"/>
        <v>0</v>
      </c>
      <c r="BJ1151" s="34">
        <f t="shared" si="87"/>
        <v>0</v>
      </c>
      <c r="BK1151" s="34"/>
      <c r="BL1151" s="34">
        <v>733</v>
      </c>
      <c r="BW1151" s="34">
        <v>21</v>
      </c>
      <c r="BX1151" s="3" t="s">
        <v>2148</v>
      </c>
    </row>
    <row r="1152" spans="1:76" x14ac:dyDescent="0.25">
      <c r="A1152" s="1" t="s">
        <v>2149</v>
      </c>
      <c r="B1152" s="2" t="s">
        <v>89</v>
      </c>
      <c r="C1152" s="2" t="s">
        <v>2150</v>
      </c>
      <c r="D1152" s="86" t="s">
        <v>2151</v>
      </c>
      <c r="E1152" s="81"/>
      <c r="F1152" s="2" t="s">
        <v>239</v>
      </c>
      <c r="G1152" s="34">
        <v>25</v>
      </c>
      <c r="H1152" s="64">
        <v>0</v>
      </c>
      <c r="I1152" s="34">
        <f t="shared" si="66"/>
        <v>0</v>
      </c>
      <c r="J1152" s="65" t="s">
        <v>4</v>
      </c>
      <c r="K1152" s="59"/>
      <c r="Z1152" s="34">
        <f t="shared" si="67"/>
        <v>0</v>
      </c>
      <c r="AB1152" s="34">
        <f t="shared" si="68"/>
        <v>0</v>
      </c>
      <c r="AC1152" s="34">
        <f t="shared" si="69"/>
        <v>0</v>
      </c>
      <c r="AD1152" s="34">
        <f t="shared" si="70"/>
        <v>0</v>
      </c>
      <c r="AE1152" s="34">
        <f t="shared" si="71"/>
        <v>0</v>
      </c>
      <c r="AF1152" s="34">
        <f t="shared" si="72"/>
        <v>0</v>
      </c>
      <c r="AG1152" s="34">
        <f t="shared" si="73"/>
        <v>0</v>
      </c>
      <c r="AH1152" s="34">
        <f t="shared" si="74"/>
        <v>0</v>
      </c>
      <c r="AI1152" s="46" t="s">
        <v>89</v>
      </c>
      <c r="AJ1152" s="34">
        <f t="shared" si="75"/>
        <v>0</v>
      </c>
      <c r="AK1152" s="34">
        <f t="shared" si="76"/>
        <v>0</v>
      </c>
      <c r="AL1152" s="34">
        <f t="shared" si="77"/>
        <v>0</v>
      </c>
      <c r="AN1152" s="34">
        <v>21</v>
      </c>
      <c r="AO1152" s="34">
        <f t="shared" si="78"/>
        <v>0</v>
      </c>
      <c r="AP1152" s="34">
        <f t="shared" si="79"/>
        <v>0</v>
      </c>
      <c r="AQ1152" s="65" t="s">
        <v>175</v>
      </c>
      <c r="AV1152" s="34">
        <f t="shared" si="80"/>
        <v>0</v>
      </c>
      <c r="AW1152" s="34">
        <f t="shared" si="81"/>
        <v>0</v>
      </c>
      <c r="AX1152" s="34">
        <f t="shared" si="82"/>
        <v>0</v>
      </c>
      <c r="AY1152" s="65" t="s">
        <v>2131</v>
      </c>
      <c r="AZ1152" s="65" t="s">
        <v>2132</v>
      </c>
      <c r="BA1152" s="46" t="s">
        <v>2133</v>
      </c>
      <c r="BC1152" s="34">
        <f t="shared" si="83"/>
        <v>0</v>
      </c>
      <c r="BD1152" s="34">
        <f t="shared" si="84"/>
        <v>0</v>
      </c>
      <c r="BE1152" s="34">
        <v>0</v>
      </c>
      <c r="BF1152" s="34">
        <f>1152</f>
        <v>1152</v>
      </c>
      <c r="BH1152" s="34">
        <f t="shared" si="85"/>
        <v>0</v>
      </c>
      <c r="BI1152" s="34">
        <f t="shared" si="86"/>
        <v>0</v>
      </c>
      <c r="BJ1152" s="34">
        <f t="shared" si="87"/>
        <v>0</v>
      </c>
      <c r="BK1152" s="34"/>
      <c r="BL1152" s="34">
        <v>733</v>
      </c>
      <c r="BW1152" s="34">
        <v>21</v>
      </c>
      <c r="BX1152" s="3" t="s">
        <v>2151</v>
      </c>
    </row>
    <row r="1153" spans="1:76" x14ac:dyDescent="0.25">
      <c r="A1153" s="1" t="s">
        <v>2152</v>
      </c>
      <c r="B1153" s="2" t="s">
        <v>89</v>
      </c>
      <c r="C1153" s="2" t="s">
        <v>2153</v>
      </c>
      <c r="D1153" s="86" t="s">
        <v>2154</v>
      </c>
      <c r="E1153" s="81"/>
      <c r="F1153" s="2" t="s">
        <v>178</v>
      </c>
      <c r="G1153" s="34">
        <v>0.10575</v>
      </c>
      <c r="H1153" s="64">
        <v>0</v>
      </c>
      <c r="I1153" s="34">
        <f t="shared" si="66"/>
        <v>0</v>
      </c>
      <c r="J1153" s="65" t="s">
        <v>4</v>
      </c>
      <c r="K1153" s="59"/>
      <c r="Z1153" s="34">
        <f t="shared" si="67"/>
        <v>0</v>
      </c>
      <c r="AB1153" s="34">
        <f t="shared" si="68"/>
        <v>0</v>
      </c>
      <c r="AC1153" s="34">
        <f t="shared" si="69"/>
        <v>0</v>
      </c>
      <c r="AD1153" s="34">
        <f t="shared" si="70"/>
        <v>0</v>
      </c>
      <c r="AE1153" s="34">
        <f t="shared" si="71"/>
        <v>0</v>
      </c>
      <c r="AF1153" s="34">
        <f t="shared" si="72"/>
        <v>0</v>
      </c>
      <c r="AG1153" s="34">
        <f t="shared" si="73"/>
        <v>0</v>
      </c>
      <c r="AH1153" s="34">
        <f t="shared" si="74"/>
        <v>0</v>
      </c>
      <c r="AI1153" s="46" t="s">
        <v>89</v>
      </c>
      <c r="AJ1153" s="34">
        <f t="shared" si="75"/>
        <v>0</v>
      </c>
      <c r="AK1153" s="34">
        <f t="shared" si="76"/>
        <v>0</v>
      </c>
      <c r="AL1153" s="34">
        <f t="shared" si="77"/>
        <v>0</v>
      </c>
      <c r="AN1153" s="34">
        <v>21</v>
      </c>
      <c r="AO1153" s="34">
        <f t="shared" si="78"/>
        <v>0</v>
      </c>
      <c r="AP1153" s="34">
        <f t="shared" si="79"/>
        <v>0</v>
      </c>
      <c r="AQ1153" s="65" t="s">
        <v>175</v>
      </c>
      <c r="AV1153" s="34">
        <f t="shared" si="80"/>
        <v>0</v>
      </c>
      <c r="AW1153" s="34">
        <f t="shared" si="81"/>
        <v>0</v>
      </c>
      <c r="AX1153" s="34">
        <f t="shared" si="82"/>
        <v>0</v>
      </c>
      <c r="AY1153" s="65" t="s">
        <v>2131</v>
      </c>
      <c r="AZ1153" s="65" t="s">
        <v>2132</v>
      </c>
      <c r="BA1153" s="46" t="s">
        <v>2133</v>
      </c>
      <c r="BC1153" s="34">
        <f t="shared" si="83"/>
        <v>0</v>
      </c>
      <c r="BD1153" s="34">
        <f t="shared" si="84"/>
        <v>0</v>
      </c>
      <c r="BE1153" s="34">
        <v>0</v>
      </c>
      <c r="BF1153" s="34">
        <f>1153</f>
        <v>1153</v>
      </c>
      <c r="BH1153" s="34">
        <f t="shared" si="85"/>
        <v>0</v>
      </c>
      <c r="BI1153" s="34">
        <f t="shared" si="86"/>
        <v>0</v>
      </c>
      <c r="BJ1153" s="34">
        <f t="shared" si="87"/>
        <v>0</v>
      </c>
      <c r="BK1153" s="34"/>
      <c r="BL1153" s="34">
        <v>733</v>
      </c>
      <c r="BW1153" s="34">
        <v>21</v>
      </c>
      <c r="BX1153" s="3" t="s">
        <v>2154</v>
      </c>
    </row>
    <row r="1154" spans="1:76" x14ac:dyDescent="0.25">
      <c r="A1154" s="1" t="s">
        <v>2155</v>
      </c>
      <c r="B1154" s="2" t="s">
        <v>89</v>
      </c>
      <c r="C1154" s="2" t="s">
        <v>2156</v>
      </c>
      <c r="D1154" s="86" t="s">
        <v>2157</v>
      </c>
      <c r="E1154" s="81"/>
      <c r="F1154" s="2" t="s">
        <v>258</v>
      </c>
      <c r="G1154" s="34">
        <v>4</v>
      </c>
      <c r="H1154" s="64">
        <v>0</v>
      </c>
      <c r="I1154" s="34">
        <f t="shared" si="66"/>
        <v>0</v>
      </c>
      <c r="J1154" s="65" t="s">
        <v>4</v>
      </c>
      <c r="K1154" s="59"/>
      <c r="Z1154" s="34">
        <f t="shared" si="67"/>
        <v>0</v>
      </c>
      <c r="AB1154" s="34">
        <f t="shared" si="68"/>
        <v>0</v>
      </c>
      <c r="AC1154" s="34">
        <f t="shared" si="69"/>
        <v>0</v>
      </c>
      <c r="AD1154" s="34">
        <f t="shared" si="70"/>
        <v>0</v>
      </c>
      <c r="AE1154" s="34">
        <f t="shared" si="71"/>
        <v>0</v>
      </c>
      <c r="AF1154" s="34">
        <f t="shared" si="72"/>
        <v>0</v>
      </c>
      <c r="AG1154" s="34">
        <f t="shared" si="73"/>
        <v>0</v>
      </c>
      <c r="AH1154" s="34">
        <f t="shared" si="74"/>
        <v>0</v>
      </c>
      <c r="AI1154" s="46" t="s">
        <v>89</v>
      </c>
      <c r="AJ1154" s="34">
        <f t="shared" si="75"/>
        <v>0</v>
      </c>
      <c r="AK1154" s="34">
        <f t="shared" si="76"/>
        <v>0</v>
      </c>
      <c r="AL1154" s="34">
        <f t="shared" si="77"/>
        <v>0</v>
      </c>
      <c r="AN1154" s="34">
        <v>21</v>
      </c>
      <c r="AO1154" s="34">
        <f t="shared" si="78"/>
        <v>0</v>
      </c>
      <c r="AP1154" s="34">
        <f t="shared" si="79"/>
        <v>0</v>
      </c>
      <c r="AQ1154" s="65" t="s">
        <v>175</v>
      </c>
      <c r="AV1154" s="34">
        <f t="shared" si="80"/>
        <v>0</v>
      </c>
      <c r="AW1154" s="34">
        <f t="shared" si="81"/>
        <v>0</v>
      </c>
      <c r="AX1154" s="34">
        <f t="shared" si="82"/>
        <v>0</v>
      </c>
      <c r="AY1154" s="65" t="s">
        <v>2131</v>
      </c>
      <c r="AZ1154" s="65" t="s">
        <v>2132</v>
      </c>
      <c r="BA1154" s="46" t="s">
        <v>2133</v>
      </c>
      <c r="BC1154" s="34">
        <f t="shared" si="83"/>
        <v>0</v>
      </c>
      <c r="BD1154" s="34">
        <f t="shared" si="84"/>
        <v>0</v>
      </c>
      <c r="BE1154" s="34">
        <v>0</v>
      </c>
      <c r="BF1154" s="34">
        <f>1154</f>
        <v>1154</v>
      </c>
      <c r="BH1154" s="34">
        <f t="shared" si="85"/>
        <v>0</v>
      </c>
      <c r="BI1154" s="34">
        <f t="shared" si="86"/>
        <v>0</v>
      </c>
      <c r="BJ1154" s="34">
        <f t="shared" si="87"/>
        <v>0</v>
      </c>
      <c r="BK1154" s="34"/>
      <c r="BL1154" s="34">
        <v>733</v>
      </c>
      <c r="BW1154" s="34">
        <v>21</v>
      </c>
      <c r="BX1154" s="3" t="s">
        <v>2157</v>
      </c>
    </row>
    <row r="1155" spans="1:76" x14ac:dyDescent="0.25">
      <c r="A1155" s="1" t="s">
        <v>2158</v>
      </c>
      <c r="B1155" s="2" t="s">
        <v>89</v>
      </c>
      <c r="C1155" s="2" t="s">
        <v>2159</v>
      </c>
      <c r="D1155" s="86" t="s">
        <v>2160</v>
      </c>
      <c r="E1155" s="81"/>
      <c r="F1155" s="2" t="s">
        <v>178</v>
      </c>
      <c r="G1155" s="34">
        <v>0.10118000000000001</v>
      </c>
      <c r="H1155" s="64">
        <v>0</v>
      </c>
      <c r="I1155" s="34">
        <f t="shared" si="66"/>
        <v>0</v>
      </c>
      <c r="J1155" s="65" t="s">
        <v>4</v>
      </c>
      <c r="K1155" s="59"/>
      <c r="Z1155" s="34">
        <f t="shared" si="67"/>
        <v>0</v>
      </c>
      <c r="AB1155" s="34">
        <f t="shared" si="68"/>
        <v>0</v>
      </c>
      <c r="AC1155" s="34">
        <f t="shared" si="69"/>
        <v>0</v>
      </c>
      <c r="AD1155" s="34">
        <f t="shared" si="70"/>
        <v>0</v>
      </c>
      <c r="AE1155" s="34">
        <f t="shared" si="71"/>
        <v>0</v>
      </c>
      <c r="AF1155" s="34">
        <f t="shared" si="72"/>
        <v>0</v>
      </c>
      <c r="AG1155" s="34">
        <f t="shared" si="73"/>
        <v>0</v>
      </c>
      <c r="AH1155" s="34">
        <f t="shared" si="74"/>
        <v>0</v>
      </c>
      <c r="AI1155" s="46" t="s">
        <v>89</v>
      </c>
      <c r="AJ1155" s="34">
        <f t="shared" si="75"/>
        <v>0</v>
      </c>
      <c r="AK1155" s="34">
        <f t="shared" si="76"/>
        <v>0</v>
      </c>
      <c r="AL1155" s="34">
        <f t="shared" si="77"/>
        <v>0</v>
      </c>
      <c r="AN1155" s="34">
        <v>21</v>
      </c>
      <c r="AO1155" s="34">
        <f t="shared" si="78"/>
        <v>0</v>
      </c>
      <c r="AP1155" s="34">
        <f t="shared" si="79"/>
        <v>0</v>
      </c>
      <c r="AQ1155" s="65" t="s">
        <v>175</v>
      </c>
      <c r="AV1155" s="34">
        <f t="shared" si="80"/>
        <v>0</v>
      </c>
      <c r="AW1155" s="34">
        <f t="shared" si="81"/>
        <v>0</v>
      </c>
      <c r="AX1155" s="34">
        <f t="shared" si="82"/>
        <v>0</v>
      </c>
      <c r="AY1155" s="65" t="s">
        <v>2131</v>
      </c>
      <c r="AZ1155" s="65" t="s">
        <v>2132</v>
      </c>
      <c r="BA1155" s="46" t="s">
        <v>2133</v>
      </c>
      <c r="BC1155" s="34">
        <f t="shared" si="83"/>
        <v>0</v>
      </c>
      <c r="BD1155" s="34">
        <f t="shared" si="84"/>
        <v>0</v>
      </c>
      <c r="BE1155" s="34">
        <v>0</v>
      </c>
      <c r="BF1155" s="34">
        <f>1155</f>
        <v>1155</v>
      </c>
      <c r="BH1155" s="34">
        <f t="shared" si="85"/>
        <v>0</v>
      </c>
      <c r="BI1155" s="34">
        <f t="shared" si="86"/>
        <v>0</v>
      </c>
      <c r="BJ1155" s="34">
        <f t="shared" si="87"/>
        <v>0</v>
      </c>
      <c r="BK1155" s="34"/>
      <c r="BL1155" s="34">
        <v>733</v>
      </c>
      <c r="BW1155" s="34">
        <v>21</v>
      </c>
      <c r="BX1155" s="3" t="s">
        <v>2160</v>
      </c>
    </row>
    <row r="1156" spans="1:76" x14ac:dyDescent="0.25">
      <c r="A1156" s="60" t="s">
        <v>4</v>
      </c>
      <c r="B1156" s="61" t="s">
        <v>89</v>
      </c>
      <c r="C1156" s="61" t="s">
        <v>2161</v>
      </c>
      <c r="D1156" s="167" t="s">
        <v>2162</v>
      </c>
      <c r="E1156" s="168"/>
      <c r="F1156" s="62" t="s">
        <v>79</v>
      </c>
      <c r="G1156" s="62" t="s">
        <v>79</v>
      </c>
      <c r="H1156" s="63" t="s">
        <v>79</v>
      </c>
      <c r="I1156" s="39">
        <f>SUM(I1157:I1168)</f>
        <v>0</v>
      </c>
      <c r="J1156" s="46" t="s">
        <v>4</v>
      </c>
      <c r="K1156" s="59"/>
      <c r="AI1156" s="46" t="s">
        <v>89</v>
      </c>
      <c r="AS1156" s="39">
        <f>SUM(AJ1157:AJ1168)</f>
        <v>0</v>
      </c>
      <c r="AT1156" s="39">
        <f>SUM(AK1157:AK1168)</f>
        <v>0</v>
      </c>
      <c r="AU1156" s="39">
        <f>SUM(AL1157:AL1168)</f>
        <v>0</v>
      </c>
    </row>
    <row r="1157" spans="1:76" x14ac:dyDescent="0.25">
      <c r="A1157" s="1" t="s">
        <v>2163</v>
      </c>
      <c r="B1157" s="2" t="s">
        <v>89</v>
      </c>
      <c r="C1157" s="2" t="s">
        <v>2164</v>
      </c>
      <c r="D1157" s="86" t="s">
        <v>2165</v>
      </c>
      <c r="E1157" s="81"/>
      <c r="F1157" s="2" t="s">
        <v>258</v>
      </c>
      <c r="G1157" s="34">
        <v>2</v>
      </c>
      <c r="H1157" s="64">
        <v>0</v>
      </c>
      <c r="I1157" s="34">
        <f t="shared" ref="I1157:I1168" si="88">ROUND(G1157*H1157,2)</f>
        <v>0</v>
      </c>
      <c r="J1157" s="65" t="s">
        <v>4</v>
      </c>
      <c r="K1157" s="59"/>
      <c r="Z1157" s="34">
        <f t="shared" ref="Z1157:Z1168" si="89">ROUND(IF(AQ1157="5",BJ1157,0),2)</f>
        <v>0</v>
      </c>
      <c r="AB1157" s="34">
        <f t="shared" ref="AB1157:AB1168" si="90">ROUND(IF(AQ1157="1",BH1157,0),2)</f>
        <v>0</v>
      </c>
      <c r="AC1157" s="34">
        <f t="shared" ref="AC1157:AC1168" si="91">ROUND(IF(AQ1157="1",BI1157,0),2)</f>
        <v>0</v>
      </c>
      <c r="AD1157" s="34">
        <f t="shared" ref="AD1157:AD1168" si="92">ROUND(IF(AQ1157="7",BH1157,0),2)</f>
        <v>0</v>
      </c>
      <c r="AE1157" s="34">
        <f t="shared" ref="AE1157:AE1168" si="93">ROUND(IF(AQ1157="7",BI1157,0),2)</f>
        <v>0</v>
      </c>
      <c r="AF1157" s="34">
        <f t="shared" ref="AF1157:AF1168" si="94">ROUND(IF(AQ1157="2",BH1157,0),2)</f>
        <v>0</v>
      </c>
      <c r="AG1157" s="34">
        <f t="shared" ref="AG1157:AG1168" si="95">ROUND(IF(AQ1157="2",BI1157,0),2)</f>
        <v>0</v>
      </c>
      <c r="AH1157" s="34">
        <f t="shared" ref="AH1157:AH1168" si="96">ROUND(IF(AQ1157="0",BJ1157,0),2)</f>
        <v>0</v>
      </c>
      <c r="AI1157" s="46" t="s">
        <v>89</v>
      </c>
      <c r="AJ1157" s="34">
        <f t="shared" ref="AJ1157:AJ1168" si="97">IF(AN1157=0,I1157,0)</f>
        <v>0</v>
      </c>
      <c r="AK1157" s="34">
        <f t="shared" ref="AK1157:AK1168" si="98">IF(AN1157=12,I1157,0)</f>
        <v>0</v>
      </c>
      <c r="AL1157" s="34">
        <f t="shared" ref="AL1157:AL1168" si="99">IF(AN1157=21,I1157,0)</f>
        <v>0</v>
      </c>
      <c r="AN1157" s="34">
        <v>21</v>
      </c>
      <c r="AO1157" s="34">
        <f t="shared" ref="AO1157:AO1168" si="100">H1157*0</f>
        <v>0</v>
      </c>
      <c r="AP1157" s="34">
        <f t="shared" ref="AP1157:AP1168" si="101">H1157*(1-0)</f>
        <v>0</v>
      </c>
      <c r="AQ1157" s="65" t="s">
        <v>175</v>
      </c>
      <c r="AV1157" s="34">
        <f t="shared" ref="AV1157:AV1168" si="102">ROUND(AW1157+AX1157,2)</f>
        <v>0</v>
      </c>
      <c r="AW1157" s="34">
        <f t="shared" ref="AW1157:AW1168" si="103">ROUND(G1157*AO1157,2)</f>
        <v>0</v>
      </c>
      <c r="AX1157" s="34">
        <f t="shared" ref="AX1157:AX1168" si="104">ROUND(G1157*AP1157,2)</f>
        <v>0</v>
      </c>
      <c r="AY1157" s="65" t="s">
        <v>2166</v>
      </c>
      <c r="AZ1157" s="65" t="s">
        <v>2132</v>
      </c>
      <c r="BA1157" s="46" t="s">
        <v>2133</v>
      </c>
      <c r="BC1157" s="34">
        <f t="shared" ref="BC1157:BC1168" si="105">AW1157+AX1157</f>
        <v>0</v>
      </c>
      <c r="BD1157" s="34">
        <f t="shared" ref="BD1157:BD1168" si="106">H1157/(100-BE1157)*100</f>
        <v>0</v>
      </c>
      <c r="BE1157" s="34">
        <v>0</v>
      </c>
      <c r="BF1157" s="34">
        <f>1157</f>
        <v>1157</v>
      </c>
      <c r="BH1157" s="34">
        <f t="shared" ref="BH1157:BH1168" si="107">G1157*AO1157</f>
        <v>0</v>
      </c>
      <c r="BI1157" s="34">
        <f t="shared" ref="BI1157:BI1168" si="108">G1157*AP1157</f>
        <v>0</v>
      </c>
      <c r="BJ1157" s="34">
        <f t="shared" ref="BJ1157:BJ1168" si="109">G1157*H1157</f>
        <v>0</v>
      </c>
      <c r="BK1157" s="34"/>
      <c r="BL1157" s="34">
        <v>734</v>
      </c>
      <c r="BW1157" s="34">
        <v>21</v>
      </c>
      <c r="BX1157" s="3" t="s">
        <v>2165</v>
      </c>
    </row>
    <row r="1158" spans="1:76" x14ac:dyDescent="0.25">
      <c r="A1158" s="1" t="s">
        <v>2167</v>
      </c>
      <c r="B1158" s="2" t="s">
        <v>89</v>
      </c>
      <c r="C1158" s="2" t="s">
        <v>2168</v>
      </c>
      <c r="D1158" s="86" t="s">
        <v>2169</v>
      </c>
      <c r="E1158" s="81"/>
      <c r="F1158" s="2" t="s">
        <v>258</v>
      </c>
      <c r="G1158" s="34">
        <v>15</v>
      </c>
      <c r="H1158" s="64">
        <v>0</v>
      </c>
      <c r="I1158" s="34">
        <f t="shared" si="88"/>
        <v>0</v>
      </c>
      <c r="J1158" s="65" t="s">
        <v>4</v>
      </c>
      <c r="K1158" s="59"/>
      <c r="Z1158" s="34">
        <f t="shared" si="89"/>
        <v>0</v>
      </c>
      <c r="AB1158" s="34">
        <f t="shared" si="90"/>
        <v>0</v>
      </c>
      <c r="AC1158" s="34">
        <f t="shared" si="91"/>
        <v>0</v>
      </c>
      <c r="AD1158" s="34">
        <f t="shared" si="92"/>
        <v>0</v>
      </c>
      <c r="AE1158" s="34">
        <f t="shared" si="93"/>
        <v>0</v>
      </c>
      <c r="AF1158" s="34">
        <f t="shared" si="94"/>
        <v>0</v>
      </c>
      <c r="AG1158" s="34">
        <f t="shared" si="95"/>
        <v>0</v>
      </c>
      <c r="AH1158" s="34">
        <f t="shared" si="96"/>
        <v>0</v>
      </c>
      <c r="AI1158" s="46" t="s">
        <v>89</v>
      </c>
      <c r="AJ1158" s="34">
        <f t="shared" si="97"/>
        <v>0</v>
      </c>
      <c r="AK1158" s="34">
        <f t="shared" si="98"/>
        <v>0</v>
      </c>
      <c r="AL1158" s="34">
        <f t="shared" si="99"/>
        <v>0</v>
      </c>
      <c r="AN1158" s="34">
        <v>21</v>
      </c>
      <c r="AO1158" s="34">
        <f t="shared" si="100"/>
        <v>0</v>
      </c>
      <c r="AP1158" s="34">
        <f t="shared" si="101"/>
        <v>0</v>
      </c>
      <c r="AQ1158" s="65" t="s">
        <v>175</v>
      </c>
      <c r="AV1158" s="34">
        <f t="shared" si="102"/>
        <v>0</v>
      </c>
      <c r="AW1158" s="34">
        <f t="shared" si="103"/>
        <v>0</v>
      </c>
      <c r="AX1158" s="34">
        <f t="shared" si="104"/>
        <v>0</v>
      </c>
      <c r="AY1158" s="65" t="s">
        <v>2166</v>
      </c>
      <c r="AZ1158" s="65" t="s">
        <v>2132</v>
      </c>
      <c r="BA1158" s="46" t="s">
        <v>2133</v>
      </c>
      <c r="BC1158" s="34">
        <f t="shared" si="105"/>
        <v>0</v>
      </c>
      <c r="BD1158" s="34">
        <f t="shared" si="106"/>
        <v>0</v>
      </c>
      <c r="BE1158" s="34">
        <v>0</v>
      </c>
      <c r="BF1158" s="34">
        <f>1158</f>
        <v>1158</v>
      </c>
      <c r="BH1158" s="34">
        <f t="shared" si="107"/>
        <v>0</v>
      </c>
      <c r="BI1158" s="34">
        <f t="shared" si="108"/>
        <v>0</v>
      </c>
      <c r="BJ1158" s="34">
        <f t="shared" si="109"/>
        <v>0</v>
      </c>
      <c r="BK1158" s="34"/>
      <c r="BL1158" s="34">
        <v>734</v>
      </c>
      <c r="BW1158" s="34">
        <v>21</v>
      </c>
      <c r="BX1158" s="3" t="s">
        <v>2169</v>
      </c>
    </row>
    <row r="1159" spans="1:76" x14ac:dyDescent="0.25">
      <c r="A1159" s="1" t="s">
        <v>2170</v>
      </c>
      <c r="B1159" s="2" t="s">
        <v>89</v>
      </c>
      <c r="C1159" s="2" t="s">
        <v>2171</v>
      </c>
      <c r="D1159" s="86" t="s">
        <v>2172</v>
      </c>
      <c r="E1159" s="81"/>
      <c r="F1159" s="2" t="s">
        <v>258</v>
      </c>
      <c r="G1159" s="34">
        <v>1</v>
      </c>
      <c r="H1159" s="64">
        <v>0</v>
      </c>
      <c r="I1159" s="34">
        <f t="shared" si="88"/>
        <v>0</v>
      </c>
      <c r="J1159" s="65" t="s">
        <v>4</v>
      </c>
      <c r="K1159" s="59"/>
      <c r="Z1159" s="34">
        <f t="shared" si="89"/>
        <v>0</v>
      </c>
      <c r="AB1159" s="34">
        <f t="shared" si="90"/>
        <v>0</v>
      </c>
      <c r="AC1159" s="34">
        <f t="shared" si="91"/>
        <v>0</v>
      </c>
      <c r="AD1159" s="34">
        <f t="shared" si="92"/>
        <v>0</v>
      </c>
      <c r="AE1159" s="34">
        <f t="shared" si="93"/>
        <v>0</v>
      </c>
      <c r="AF1159" s="34">
        <f t="shared" si="94"/>
        <v>0</v>
      </c>
      <c r="AG1159" s="34">
        <f t="shared" si="95"/>
        <v>0</v>
      </c>
      <c r="AH1159" s="34">
        <f t="shared" si="96"/>
        <v>0</v>
      </c>
      <c r="AI1159" s="46" t="s">
        <v>89</v>
      </c>
      <c r="AJ1159" s="34">
        <f t="shared" si="97"/>
        <v>0</v>
      </c>
      <c r="AK1159" s="34">
        <f t="shared" si="98"/>
        <v>0</v>
      </c>
      <c r="AL1159" s="34">
        <f t="shared" si="99"/>
        <v>0</v>
      </c>
      <c r="AN1159" s="34">
        <v>21</v>
      </c>
      <c r="AO1159" s="34">
        <f t="shared" si="100"/>
        <v>0</v>
      </c>
      <c r="AP1159" s="34">
        <f t="shared" si="101"/>
        <v>0</v>
      </c>
      <c r="AQ1159" s="65" t="s">
        <v>175</v>
      </c>
      <c r="AV1159" s="34">
        <f t="shared" si="102"/>
        <v>0</v>
      </c>
      <c r="AW1159" s="34">
        <f t="shared" si="103"/>
        <v>0</v>
      </c>
      <c r="AX1159" s="34">
        <f t="shared" si="104"/>
        <v>0</v>
      </c>
      <c r="AY1159" s="65" t="s">
        <v>2166</v>
      </c>
      <c r="AZ1159" s="65" t="s">
        <v>2132</v>
      </c>
      <c r="BA1159" s="46" t="s">
        <v>2133</v>
      </c>
      <c r="BC1159" s="34">
        <f t="shared" si="105"/>
        <v>0</v>
      </c>
      <c r="BD1159" s="34">
        <f t="shared" si="106"/>
        <v>0</v>
      </c>
      <c r="BE1159" s="34">
        <v>0</v>
      </c>
      <c r="BF1159" s="34">
        <f>1159</f>
        <v>1159</v>
      </c>
      <c r="BH1159" s="34">
        <f t="shared" si="107"/>
        <v>0</v>
      </c>
      <c r="BI1159" s="34">
        <f t="shared" si="108"/>
        <v>0</v>
      </c>
      <c r="BJ1159" s="34">
        <f t="shared" si="109"/>
        <v>0</v>
      </c>
      <c r="BK1159" s="34"/>
      <c r="BL1159" s="34">
        <v>734</v>
      </c>
      <c r="BW1159" s="34">
        <v>21</v>
      </c>
      <c r="BX1159" s="3" t="s">
        <v>2172</v>
      </c>
    </row>
    <row r="1160" spans="1:76" x14ac:dyDescent="0.25">
      <c r="A1160" s="1" t="s">
        <v>2173</v>
      </c>
      <c r="B1160" s="2" t="s">
        <v>89</v>
      </c>
      <c r="C1160" s="2" t="s">
        <v>2174</v>
      </c>
      <c r="D1160" s="86" t="s">
        <v>2175</v>
      </c>
      <c r="E1160" s="81"/>
      <c r="F1160" s="2" t="s">
        <v>258</v>
      </c>
      <c r="G1160" s="34">
        <v>1</v>
      </c>
      <c r="H1160" s="64">
        <v>0</v>
      </c>
      <c r="I1160" s="34">
        <f t="shared" si="88"/>
        <v>0</v>
      </c>
      <c r="J1160" s="65" t="s">
        <v>4</v>
      </c>
      <c r="K1160" s="59"/>
      <c r="Z1160" s="34">
        <f t="shared" si="89"/>
        <v>0</v>
      </c>
      <c r="AB1160" s="34">
        <f t="shared" si="90"/>
        <v>0</v>
      </c>
      <c r="AC1160" s="34">
        <f t="shared" si="91"/>
        <v>0</v>
      </c>
      <c r="AD1160" s="34">
        <f t="shared" si="92"/>
        <v>0</v>
      </c>
      <c r="AE1160" s="34">
        <f t="shared" si="93"/>
        <v>0</v>
      </c>
      <c r="AF1160" s="34">
        <f t="shared" si="94"/>
        <v>0</v>
      </c>
      <c r="AG1160" s="34">
        <f t="shared" si="95"/>
        <v>0</v>
      </c>
      <c r="AH1160" s="34">
        <f t="shared" si="96"/>
        <v>0</v>
      </c>
      <c r="AI1160" s="46" t="s">
        <v>89</v>
      </c>
      <c r="AJ1160" s="34">
        <f t="shared" si="97"/>
        <v>0</v>
      </c>
      <c r="AK1160" s="34">
        <f t="shared" si="98"/>
        <v>0</v>
      </c>
      <c r="AL1160" s="34">
        <f t="shared" si="99"/>
        <v>0</v>
      </c>
      <c r="AN1160" s="34">
        <v>21</v>
      </c>
      <c r="AO1160" s="34">
        <f t="shared" si="100"/>
        <v>0</v>
      </c>
      <c r="AP1160" s="34">
        <f t="shared" si="101"/>
        <v>0</v>
      </c>
      <c r="AQ1160" s="65" t="s">
        <v>175</v>
      </c>
      <c r="AV1160" s="34">
        <f t="shared" si="102"/>
        <v>0</v>
      </c>
      <c r="AW1160" s="34">
        <f t="shared" si="103"/>
        <v>0</v>
      </c>
      <c r="AX1160" s="34">
        <f t="shared" si="104"/>
        <v>0</v>
      </c>
      <c r="AY1160" s="65" t="s">
        <v>2166</v>
      </c>
      <c r="AZ1160" s="65" t="s">
        <v>2132</v>
      </c>
      <c r="BA1160" s="46" t="s">
        <v>2133</v>
      </c>
      <c r="BC1160" s="34">
        <f t="shared" si="105"/>
        <v>0</v>
      </c>
      <c r="BD1160" s="34">
        <f t="shared" si="106"/>
        <v>0</v>
      </c>
      <c r="BE1160" s="34">
        <v>0</v>
      </c>
      <c r="BF1160" s="34">
        <f>1160</f>
        <v>1160</v>
      </c>
      <c r="BH1160" s="34">
        <f t="shared" si="107"/>
        <v>0</v>
      </c>
      <c r="BI1160" s="34">
        <f t="shared" si="108"/>
        <v>0</v>
      </c>
      <c r="BJ1160" s="34">
        <f t="shared" si="109"/>
        <v>0</v>
      </c>
      <c r="BK1160" s="34"/>
      <c r="BL1160" s="34">
        <v>734</v>
      </c>
      <c r="BW1160" s="34">
        <v>21</v>
      </c>
      <c r="BX1160" s="3" t="s">
        <v>2175</v>
      </c>
    </row>
    <row r="1161" spans="1:76" x14ac:dyDescent="0.25">
      <c r="A1161" s="1" t="s">
        <v>2176</v>
      </c>
      <c r="B1161" s="2" t="s">
        <v>89</v>
      </c>
      <c r="C1161" s="2" t="s">
        <v>2177</v>
      </c>
      <c r="D1161" s="86" t="s">
        <v>2178</v>
      </c>
      <c r="E1161" s="81"/>
      <c r="F1161" s="2" t="s">
        <v>258</v>
      </c>
      <c r="G1161" s="34">
        <v>1</v>
      </c>
      <c r="H1161" s="64">
        <v>0</v>
      </c>
      <c r="I1161" s="34">
        <f t="shared" si="88"/>
        <v>0</v>
      </c>
      <c r="J1161" s="65" t="s">
        <v>4</v>
      </c>
      <c r="K1161" s="59"/>
      <c r="Z1161" s="34">
        <f t="shared" si="89"/>
        <v>0</v>
      </c>
      <c r="AB1161" s="34">
        <f t="shared" si="90"/>
        <v>0</v>
      </c>
      <c r="AC1161" s="34">
        <f t="shared" si="91"/>
        <v>0</v>
      </c>
      <c r="AD1161" s="34">
        <f t="shared" si="92"/>
        <v>0</v>
      </c>
      <c r="AE1161" s="34">
        <f t="shared" si="93"/>
        <v>0</v>
      </c>
      <c r="AF1161" s="34">
        <f t="shared" si="94"/>
        <v>0</v>
      </c>
      <c r="AG1161" s="34">
        <f t="shared" si="95"/>
        <v>0</v>
      </c>
      <c r="AH1161" s="34">
        <f t="shared" si="96"/>
        <v>0</v>
      </c>
      <c r="AI1161" s="46" t="s">
        <v>89</v>
      </c>
      <c r="AJ1161" s="34">
        <f t="shared" si="97"/>
        <v>0</v>
      </c>
      <c r="AK1161" s="34">
        <f t="shared" si="98"/>
        <v>0</v>
      </c>
      <c r="AL1161" s="34">
        <f t="shared" si="99"/>
        <v>0</v>
      </c>
      <c r="AN1161" s="34">
        <v>21</v>
      </c>
      <c r="AO1161" s="34">
        <f t="shared" si="100"/>
        <v>0</v>
      </c>
      <c r="AP1161" s="34">
        <f t="shared" si="101"/>
        <v>0</v>
      </c>
      <c r="AQ1161" s="65" t="s">
        <v>175</v>
      </c>
      <c r="AV1161" s="34">
        <f t="shared" si="102"/>
        <v>0</v>
      </c>
      <c r="AW1161" s="34">
        <f t="shared" si="103"/>
        <v>0</v>
      </c>
      <c r="AX1161" s="34">
        <f t="shared" si="104"/>
        <v>0</v>
      </c>
      <c r="AY1161" s="65" t="s">
        <v>2166</v>
      </c>
      <c r="AZ1161" s="65" t="s">
        <v>2132</v>
      </c>
      <c r="BA1161" s="46" t="s">
        <v>2133</v>
      </c>
      <c r="BC1161" s="34">
        <f t="shared" si="105"/>
        <v>0</v>
      </c>
      <c r="BD1161" s="34">
        <f t="shared" si="106"/>
        <v>0</v>
      </c>
      <c r="BE1161" s="34">
        <v>0</v>
      </c>
      <c r="BF1161" s="34">
        <f>1161</f>
        <v>1161</v>
      </c>
      <c r="BH1161" s="34">
        <f t="shared" si="107"/>
        <v>0</v>
      </c>
      <c r="BI1161" s="34">
        <f t="shared" si="108"/>
        <v>0</v>
      </c>
      <c r="BJ1161" s="34">
        <f t="shared" si="109"/>
        <v>0</v>
      </c>
      <c r="BK1161" s="34"/>
      <c r="BL1161" s="34">
        <v>734</v>
      </c>
      <c r="BW1161" s="34">
        <v>21</v>
      </c>
      <c r="BX1161" s="3" t="s">
        <v>2178</v>
      </c>
    </row>
    <row r="1162" spans="1:76" x14ac:dyDescent="0.25">
      <c r="A1162" s="1" t="s">
        <v>2179</v>
      </c>
      <c r="B1162" s="2" t="s">
        <v>89</v>
      </c>
      <c r="C1162" s="2" t="s">
        <v>2180</v>
      </c>
      <c r="D1162" s="86" t="s">
        <v>2181</v>
      </c>
      <c r="E1162" s="81"/>
      <c r="F1162" s="2" t="s">
        <v>258</v>
      </c>
      <c r="G1162" s="34">
        <v>1</v>
      </c>
      <c r="H1162" s="64">
        <v>0</v>
      </c>
      <c r="I1162" s="34">
        <f t="shared" si="88"/>
        <v>0</v>
      </c>
      <c r="J1162" s="65" t="s">
        <v>4</v>
      </c>
      <c r="K1162" s="59"/>
      <c r="Z1162" s="34">
        <f t="shared" si="89"/>
        <v>0</v>
      </c>
      <c r="AB1162" s="34">
        <f t="shared" si="90"/>
        <v>0</v>
      </c>
      <c r="AC1162" s="34">
        <f t="shared" si="91"/>
        <v>0</v>
      </c>
      <c r="AD1162" s="34">
        <f t="shared" si="92"/>
        <v>0</v>
      </c>
      <c r="AE1162" s="34">
        <f t="shared" si="93"/>
        <v>0</v>
      </c>
      <c r="AF1162" s="34">
        <f t="shared" si="94"/>
        <v>0</v>
      </c>
      <c r="AG1162" s="34">
        <f t="shared" si="95"/>
        <v>0</v>
      </c>
      <c r="AH1162" s="34">
        <f t="shared" si="96"/>
        <v>0</v>
      </c>
      <c r="AI1162" s="46" t="s">
        <v>89</v>
      </c>
      <c r="AJ1162" s="34">
        <f t="shared" si="97"/>
        <v>0</v>
      </c>
      <c r="AK1162" s="34">
        <f t="shared" si="98"/>
        <v>0</v>
      </c>
      <c r="AL1162" s="34">
        <f t="shared" si="99"/>
        <v>0</v>
      </c>
      <c r="AN1162" s="34">
        <v>21</v>
      </c>
      <c r="AO1162" s="34">
        <f t="shared" si="100"/>
        <v>0</v>
      </c>
      <c r="AP1162" s="34">
        <f t="shared" si="101"/>
        <v>0</v>
      </c>
      <c r="AQ1162" s="65" t="s">
        <v>175</v>
      </c>
      <c r="AV1162" s="34">
        <f t="shared" si="102"/>
        <v>0</v>
      </c>
      <c r="AW1162" s="34">
        <f t="shared" si="103"/>
        <v>0</v>
      </c>
      <c r="AX1162" s="34">
        <f t="shared" si="104"/>
        <v>0</v>
      </c>
      <c r="AY1162" s="65" t="s">
        <v>2166</v>
      </c>
      <c r="AZ1162" s="65" t="s">
        <v>2132</v>
      </c>
      <c r="BA1162" s="46" t="s">
        <v>2133</v>
      </c>
      <c r="BC1162" s="34">
        <f t="shared" si="105"/>
        <v>0</v>
      </c>
      <c r="BD1162" s="34">
        <f t="shared" si="106"/>
        <v>0</v>
      </c>
      <c r="BE1162" s="34">
        <v>0</v>
      </c>
      <c r="BF1162" s="34">
        <f>1162</f>
        <v>1162</v>
      </c>
      <c r="BH1162" s="34">
        <f t="shared" si="107"/>
        <v>0</v>
      </c>
      <c r="BI1162" s="34">
        <f t="shared" si="108"/>
        <v>0</v>
      </c>
      <c r="BJ1162" s="34">
        <f t="shared" si="109"/>
        <v>0</v>
      </c>
      <c r="BK1162" s="34"/>
      <c r="BL1162" s="34">
        <v>734</v>
      </c>
      <c r="BW1162" s="34">
        <v>21</v>
      </c>
      <c r="BX1162" s="3" t="s">
        <v>2181</v>
      </c>
    </row>
    <row r="1163" spans="1:76" x14ac:dyDescent="0.25">
      <c r="A1163" s="1" t="s">
        <v>2182</v>
      </c>
      <c r="B1163" s="2" t="s">
        <v>89</v>
      </c>
      <c r="C1163" s="2" t="s">
        <v>2183</v>
      </c>
      <c r="D1163" s="86" t="s">
        <v>2184</v>
      </c>
      <c r="E1163" s="81"/>
      <c r="F1163" s="2" t="s">
        <v>258</v>
      </c>
      <c r="G1163" s="34">
        <v>15</v>
      </c>
      <c r="H1163" s="64">
        <v>0</v>
      </c>
      <c r="I1163" s="34">
        <f t="shared" si="88"/>
        <v>0</v>
      </c>
      <c r="J1163" s="65" t="s">
        <v>4</v>
      </c>
      <c r="K1163" s="59"/>
      <c r="Z1163" s="34">
        <f t="shared" si="89"/>
        <v>0</v>
      </c>
      <c r="AB1163" s="34">
        <f t="shared" si="90"/>
        <v>0</v>
      </c>
      <c r="AC1163" s="34">
        <f t="shared" si="91"/>
        <v>0</v>
      </c>
      <c r="AD1163" s="34">
        <f t="shared" si="92"/>
        <v>0</v>
      </c>
      <c r="AE1163" s="34">
        <f t="shared" si="93"/>
        <v>0</v>
      </c>
      <c r="AF1163" s="34">
        <f t="shared" si="94"/>
        <v>0</v>
      </c>
      <c r="AG1163" s="34">
        <f t="shared" si="95"/>
        <v>0</v>
      </c>
      <c r="AH1163" s="34">
        <f t="shared" si="96"/>
        <v>0</v>
      </c>
      <c r="AI1163" s="46" t="s">
        <v>89</v>
      </c>
      <c r="AJ1163" s="34">
        <f t="shared" si="97"/>
        <v>0</v>
      </c>
      <c r="AK1163" s="34">
        <f t="shared" si="98"/>
        <v>0</v>
      </c>
      <c r="AL1163" s="34">
        <f t="shared" si="99"/>
        <v>0</v>
      </c>
      <c r="AN1163" s="34">
        <v>21</v>
      </c>
      <c r="AO1163" s="34">
        <f t="shared" si="100"/>
        <v>0</v>
      </c>
      <c r="AP1163" s="34">
        <f t="shared" si="101"/>
        <v>0</v>
      </c>
      <c r="AQ1163" s="65" t="s">
        <v>175</v>
      </c>
      <c r="AV1163" s="34">
        <f t="shared" si="102"/>
        <v>0</v>
      </c>
      <c r="AW1163" s="34">
        <f t="shared" si="103"/>
        <v>0</v>
      </c>
      <c r="AX1163" s="34">
        <f t="shared" si="104"/>
        <v>0</v>
      </c>
      <c r="AY1163" s="65" t="s">
        <v>2166</v>
      </c>
      <c r="AZ1163" s="65" t="s">
        <v>2132</v>
      </c>
      <c r="BA1163" s="46" t="s">
        <v>2133</v>
      </c>
      <c r="BC1163" s="34">
        <f t="shared" si="105"/>
        <v>0</v>
      </c>
      <c r="BD1163" s="34">
        <f t="shared" si="106"/>
        <v>0</v>
      </c>
      <c r="BE1163" s="34">
        <v>0</v>
      </c>
      <c r="BF1163" s="34">
        <f>1163</f>
        <v>1163</v>
      </c>
      <c r="BH1163" s="34">
        <f t="shared" si="107"/>
        <v>0</v>
      </c>
      <c r="BI1163" s="34">
        <f t="shared" si="108"/>
        <v>0</v>
      </c>
      <c r="BJ1163" s="34">
        <f t="shared" si="109"/>
        <v>0</v>
      </c>
      <c r="BK1163" s="34"/>
      <c r="BL1163" s="34">
        <v>734</v>
      </c>
      <c r="BW1163" s="34">
        <v>21</v>
      </c>
      <c r="BX1163" s="3" t="s">
        <v>2184</v>
      </c>
    </row>
    <row r="1164" spans="1:76" x14ac:dyDescent="0.25">
      <c r="A1164" s="1" t="s">
        <v>2185</v>
      </c>
      <c r="B1164" s="2" t="s">
        <v>89</v>
      </c>
      <c r="C1164" s="2" t="s">
        <v>2186</v>
      </c>
      <c r="D1164" s="86" t="s">
        <v>2187</v>
      </c>
      <c r="E1164" s="81"/>
      <c r="F1164" s="2" t="s">
        <v>258</v>
      </c>
      <c r="G1164" s="34">
        <v>10</v>
      </c>
      <c r="H1164" s="64">
        <v>0</v>
      </c>
      <c r="I1164" s="34">
        <f t="shared" si="88"/>
        <v>0</v>
      </c>
      <c r="J1164" s="65" t="s">
        <v>4</v>
      </c>
      <c r="K1164" s="59"/>
      <c r="Z1164" s="34">
        <f t="shared" si="89"/>
        <v>0</v>
      </c>
      <c r="AB1164" s="34">
        <f t="shared" si="90"/>
        <v>0</v>
      </c>
      <c r="AC1164" s="34">
        <f t="shared" si="91"/>
        <v>0</v>
      </c>
      <c r="AD1164" s="34">
        <f t="shared" si="92"/>
        <v>0</v>
      </c>
      <c r="AE1164" s="34">
        <f t="shared" si="93"/>
        <v>0</v>
      </c>
      <c r="AF1164" s="34">
        <f t="shared" si="94"/>
        <v>0</v>
      </c>
      <c r="AG1164" s="34">
        <f t="shared" si="95"/>
        <v>0</v>
      </c>
      <c r="AH1164" s="34">
        <f t="shared" si="96"/>
        <v>0</v>
      </c>
      <c r="AI1164" s="46" t="s">
        <v>89</v>
      </c>
      <c r="AJ1164" s="34">
        <f t="shared" si="97"/>
        <v>0</v>
      </c>
      <c r="AK1164" s="34">
        <f t="shared" si="98"/>
        <v>0</v>
      </c>
      <c r="AL1164" s="34">
        <f t="shared" si="99"/>
        <v>0</v>
      </c>
      <c r="AN1164" s="34">
        <v>21</v>
      </c>
      <c r="AO1164" s="34">
        <f t="shared" si="100"/>
        <v>0</v>
      </c>
      <c r="AP1164" s="34">
        <f t="shared" si="101"/>
        <v>0</v>
      </c>
      <c r="AQ1164" s="65" t="s">
        <v>175</v>
      </c>
      <c r="AV1164" s="34">
        <f t="shared" si="102"/>
        <v>0</v>
      </c>
      <c r="AW1164" s="34">
        <f t="shared" si="103"/>
        <v>0</v>
      </c>
      <c r="AX1164" s="34">
        <f t="shared" si="104"/>
        <v>0</v>
      </c>
      <c r="AY1164" s="65" t="s">
        <v>2166</v>
      </c>
      <c r="AZ1164" s="65" t="s">
        <v>2132</v>
      </c>
      <c r="BA1164" s="46" t="s">
        <v>2133</v>
      </c>
      <c r="BC1164" s="34">
        <f t="shared" si="105"/>
        <v>0</v>
      </c>
      <c r="BD1164" s="34">
        <f t="shared" si="106"/>
        <v>0</v>
      </c>
      <c r="BE1164" s="34">
        <v>0</v>
      </c>
      <c r="BF1164" s="34">
        <f>1164</f>
        <v>1164</v>
      </c>
      <c r="BH1164" s="34">
        <f t="shared" si="107"/>
        <v>0</v>
      </c>
      <c r="BI1164" s="34">
        <f t="shared" si="108"/>
        <v>0</v>
      </c>
      <c r="BJ1164" s="34">
        <f t="shared" si="109"/>
        <v>0</v>
      </c>
      <c r="BK1164" s="34"/>
      <c r="BL1164" s="34">
        <v>734</v>
      </c>
      <c r="BW1164" s="34">
        <v>21</v>
      </c>
      <c r="BX1164" s="3" t="s">
        <v>2187</v>
      </c>
    </row>
    <row r="1165" spans="1:76" x14ac:dyDescent="0.25">
      <c r="A1165" s="1" t="s">
        <v>2188</v>
      </c>
      <c r="B1165" s="2" t="s">
        <v>89</v>
      </c>
      <c r="C1165" s="2" t="s">
        <v>2189</v>
      </c>
      <c r="D1165" s="86" t="s">
        <v>2190</v>
      </c>
      <c r="E1165" s="81"/>
      <c r="F1165" s="2" t="s">
        <v>258</v>
      </c>
      <c r="G1165" s="34">
        <v>4</v>
      </c>
      <c r="H1165" s="64">
        <v>0</v>
      </c>
      <c r="I1165" s="34">
        <f t="shared" si="88"/>
        <v>0</v>
      </c>
      <c r="J1165" s="65" t="s">
        <v>4</v>
      </c>
      <c r="K1165" s="59"/>
      <c r="Z1165" s="34">
        <f t="shared" si="89"/>
        <v>0</v>
      </c>
      <c r="AB1165" s="34">
        <f t="shared" si="90"/>
        <v>0</v>
      </c>
      <c r="AC1165" s="34">
        <f t="shared" si="91"/>
        <v>0</v>
      </c>
      <c r="AD1165" s="34">
        <f t="shared" si="92"/>
        <v>0</v>
      </c>
      <c r="AE1165" s="34">
        <f t="shared" si="93"/>
        <v>0</v>
      </c>
      <c r="AF1165" s="34">
        <f t="shared" si="94"/>
        <v>0</v>
      </c>
      <c r="AG1165" s="34">
        <f t="shared" si="95"/>
        <v>0</v>
      </c>
      <c r="AH1165" s="34">
        <f t="shared" si="96"/>
        <v>0</v>
      </c>
      <c r="AI1165" s="46" t="s">
        <v>89</v>
      </c>
      <c r="AJ1165" s="34">
        <f t="shared" si="97"/>
        <v>0</v>
      </c>
      <c r="AK1165" s="34">
        <f t="shared" si="98"/>
        <v>0</v>
      </c>
      <c r="AL1165" s="34">
        <f t="shared" si="99"/>
        <v>0</v>
      </c>
      <c r="AN1165" s="34">
        <v>21</v>
      </c>
      <c r="AO1165" s="34">
        <f t="shared" si="100"/>
        <v>0</v>
      </c>
      <c r="AP1165" s="34">
        <f t="shared" si="101"/>
        <v>0</v>
      </c>
      <c r="AQ1165" s="65" t="s">
        <v>175</v>
      </c>
      <c r="AV1165" s="34">
        <f t="shared" si="102"/>
        <v>0</v>
      </c>
      <c r="AW1165" s="34">
        <f t="shared" si="103"/>
        <v>0</v>
      </c>
      <c r="AX1165" s="34">
        <f t="shared" si="104"/>
        <v>0</v>
      </c>
      <c r="AY1165" s="65" t="s">
        <v>2166</v>
      </c>
      <c r="AZ1165" s="65" t="s">
        <v>2132</v>
      </c>
      <c r="BA1165" s="46" t="s">
        <v>2133</v>
      </c>
      <c r="BC1165" s="34">
        <f t="shared" si="105"/>
        <v>0</v>
      </c>
      <c r="BD1165" s="34">
        <f t="shared" si="106"/>
        <v>0</v>
      </c>
      <c r="BE1165" s="34">
        <v>0</v>
      </c>
      <c r="BF1165" s="34">
        <f>1165</f>
        <v>1165</v>
      </c>
      <c r="BH1165" s="34">
        <f t="shared" si="107"/>
        <v>0</v>
      </c>
      <c r="BI1165" s="34">
        <f t="shared" si="108"/>
        <v>0</v>
      </c>
      <c r="BJ1165" s="34">
        <f t="shared" si="109"/>
        <v>0</v>
      </c>
      <c r="BK1165" s="34"/>
      <c r="BL1165" s="34">
        <v>734</v>
      </c>
      <c r="BW1165" s="34">
        <v>21</v>
      </c>
      <c r="BX1165" s="3" t="s">
        <v>2190</v>
      </c>
    </row>
    <row r="1166" spans="1:76" x14ac:dyDescent="0.25">
      <c r="A1166" s="1" t="s">
        <v>2191</v>
      </c>
      <c r="B1166" s="2" t="s">
        <v>89</v>
      </c>
      <c r="C1166" s="2" t="s">
        <v>2192</v>
      </c>
      <c r="D1166" s="86" t="s">
        <v>2193</v>
      </c>
      <c r="E1166" s="81"/>
      <c r="F1166" s="2" t="s">
        <v>258</v>
      </c>
      <c r="G1166" s="34">
        <v>14</v>
      </c>
      <c r="H1166" s="64">
        <v>0</v>
      </c>
      <c r="I1166" s="34">
        <f t="shared" si="88"/>
        <v>0</v>
      </c>
      <c r="J1166" s="65" t="s">
        <v>4</v>
      </c>
      <c r="K1166" s="59"/>
      <c r="Z1166" s="34">
        <f t="shared" si="89"/>
        <v>0</v>
      </c>
      <c r="AB1166" s="34">
        <f t="shared" si="90"/>
        <v>0</v>
      </c>
      <c r="AC1166" s="34">
        <f t="shared" si="91"/>
        <v>0</v>
      </c>
      <c r="AD1166" s="34">
        <f t="shared" si="92"/>
        <v>0</v>
      </c>
      <c r="AE1166" s="34">
        <f t="shared" si="93"/>
        <v>0</v>
      </c>
      <c r="AF1166" s="34">
        <f t="shared" si="94"/>
        <v>0</v>
      </c>
      <c r="AG1166" s="34">
        <f t="shared" si="95"/>
        <v>0</v>
      </c>
      <c r="AH1166" s="34">
        <f t="shared" si="96"/>
        <v>0</v>
      </c>
      <c r="AI1166" s="46" t="s">
        <v>89</v>
      </c>
      <c r="AJ1166" s="34">
        <f t="shared" si="97"/>
        <v>0</v>
      </c>
      <c r="AK1166" s="34">
        <f t="shared" si="98"/>
        <v>0</v>
      </c>
      <c r="AL1166" s="34">
        <f t="shared" si="99"/>
        <v>0</v>
      </c>
      <c r="AN1166" s="34">
        <v>21</v>
      </c>
      <c r="AO1166" s="34">
        <f t="shared" si="100"/>
        <v>0</v>
      </c>
      <c r="AP1166" s="34">
        <f t="shared" si="101"/>
        <v>0</v>
      </c>
      <c r="AQ1166" s="65" t="s">
        <v>175</v>
      </c>
      <c r="AV1166" s="34">
        <f t="shared" si="102"/>
        <v>0</v>
      </c>
      <c r="AW1166" s="34">
        <f t="shared" si="103"/>
        <v>0</v>
      </c>
      <c r="AX1166" s="34">
        <f t="shared" si="104"/>
        <v>0</v>
      </c>
      <c r="AY1166" s="65" t="s">
        <v>2166</v>
      </c>
      <c r="AZ1166" s="65" t="s">
        <v>2132</v>
      </c>
      <c r="BA1166" s="46" t="s">
        <v>2133</v>
      </c>
      <c r="BC1166" s="34">
        <f t="shared" si="105"/>
        <v>0</v>
      </c>
      <c r="BD1166" s="34">
        <f t="shared" si="106"/>
        <v>0</v>
      </c>
      <c r="BE1166" s="34">
        <v>0</v>
      </c>
      <c r="BF1166" s="34">
        <f>1166</f>
        <v>1166</v>
      </c>
      <c r="BH1166" s="34">
        <f t="shared" si="107"/>
        <v>0</v>
      </c>
      <c r="BI1166" s="34">
        <f t="shared" si="108"/>
        <v>0</v>
      </c>
      <c r="BJ1166" s="34">
        <f t="shared" si="109"/>
        <v>0</v>
      </c>
      <c r="BK1166" s="34"/>
      <c r="BL1166" s="34">
        <v>734</v>
      </c>
      <c r="BW1166" s="34">
        <v>21</v>
      </c>
      <c r="BX1166" s="3" t="s">
        <v>2193</v>
      </c>
    </row>
    <row r="1167" spans="1:76" x14ac:dyDescent="0.25">
      <c r="A1167" s="1" t="s">
        <v>2194</v>
      </c>
      <c r="B1167" s="2" t="s">
        <v>89</v>
      </c>
      <c r="C1167" s="2" t="s">
        <v>2195</v>
      </c>
      <c r="D1167" s="86" t="s">
        <v>2196</v>
      </c>
      <c r="E1167" s="81"/>
      <c r="F1167" s="2" t="s">
        <v>178</v>
      </c>
      <c r="G1167" s="34">
        <v>6.3E-3</v>
      </c>
      <c r="H1167" s="64">
        <v>0</v>
      </c>
      <c r="I1167" s="34">
        <f t="shared" si="88"/>
        <v>0</v>
      </c>
      <c r="J1167" s="65" t="s">
        <v>4</v>
      </c>
      <c r="K1167" s="59"/>
      <c r="Z1167" s="34">
        <f t="shared" si="89"/>
        <v>0</v>
      </c>
      <c r="AB1167" s="34">
        <f t="shared" si="90"/>
        <v>0</v>
      </c>
      <c r="AC1167" s="34">
        <f t="shared" si="91"/>
        <v>0</v>
      </c>
      <c r="AD1167" s="34">
        <f t="shared" si="92"/>
        <v>0</v>
      </c>
      <c r="AE1167" s="34">
        <f t="shared" si="93"/>
        <v>0</v>
      </c>
      <c r="AF1167" s="34">
        <f t="shared" si="94"/>
        <v>0</v>
      </c>
      <c r="AG1167" s="34">
        <f t="shared" si="95"/>
        <v>0</v>
      </c>
      <c r="AH1167" s="34">
        <f t="shared" si="96"/>
        <v>0</v>
      </c>
      <c r="AI1167" s="46" t="s">
        <v>89</v>
      </c>
      <c r="AJ1167" s="34">
        <f t="shared" si="97"/>
        <v>0</v>
      </c>
      <c r="AK1167" s="34">
        <f t="shared" si="98"/>
        <v>0</v>
      </c>
      <c r="AL1167" s="34">
        <f t="shared" si="99"/>
        <v>0</v>
      </c>
      <c r="AN1167" s="34">
        <v>21</v>
      </c>
      <c r="AO1167" s="34">
        <f t="shared" si="100"/>
        <v>0</v>
      </c>
      <c r="AP1167" s="34">
        <f t="shared" si="101"/>
        <v>0</v>
      </c>
      <c r="AQ1167" s="65" t="s">
        <v>175</v>
      </c>
      <c r="AV1167" s="34">
        <f t="shared" si="102"/>
        <v>0</v>
      </c>
      <c r="AW1167" s="34">
        <f t="shared" si="103"/>
        <v>0</v>
      </c>
      <c r="AX1167" s="34">
        <f t="shared" si="104"/>
        <v>0</v>
      </c>
      <c r="AY1167" s="65" t="s">
        <v>2166</v>
      </c>
      <c r="AZ1167" s="65" t="s">
        <v>2132</v>
      </c>
      <c r="BA1167" s="46" t="s">
        <v>2133</v>
      </c>
      <c r="BC1167" s="34">
        <f t="shared" si="105"/>
        <v>0</v>
      </c>
      <c r="BD1167" s="34">
        <f t="shared" si="106"/>
        <v>0</v>
      </c>
      <c r="BE1167" s="34">
        <v>0</v>
      </c>
      <c r="BF1167" s="34">
        <f>1167</f>
        <v>1167</v>
      </c>
      <c r="BH1167" s="34">
        <f t="shared" si="107"/>
        <v>0</v>
      </c>
      <c r="BI1167" s="34">
        <f t="shared" si="108"/>
        <v>0</v>
      </c>
      <c r="BJ1167" s="34">
        <f t="shared" si="109"/>
        <v>0</v>
      </c>
      <c r="BK1167" s="34"/>
      <c r="BL1167" s="34">
        <v>734</v>
      </c>
      <c r="BW1167" s="34">
        <v>21</v>
      </c>
      <c r="BX1167" s="3" t="s">
        <v>2196</v>
      </c>
    </row>
    <row r="1168" spans="1:76" x14ac:dyDescent="0.25">
      <c r="A1168" s="1" t="s">
        <v>2197</v>
      </c>
      <c r="B1168" s="2" t="s">
        <v>89</v>
      </c>
      <c r="C1168" s="2" t="s">
        <v>2198</v>
      </c>
      <c r="D1168" s="86" t="s">
        <v>2199</v>
      </c>
      <c r="E1168" s="81"/>
      <c r="F1168" s="2" t="s">
        <v>178</v>
      </c>
      <c r="G1168" s="34">
        <v>1.7639999999999999E-2</v>
      </c>
      <c r="H1168" s="64">
        <v>0</v>
      </c>
      <c r="I1168" s="34">
        <f t="shared" si="88"/>
        <v>0</v>
      </c>
      <c r="J1168" s="65" t="s">
        <v>4</v>
      </c>
      <c r="K1168" s="59"/>
      <c r="Z1168" s="34">
        <f t="shared" si="89"/>
        <v>0</v>
      </c>
      <c r="AB1168" s="34">
        <f t="shared" si="90"/>
        <v>0</v>
      </c>
      <c r="AC1168" s="34">
        <f t="shared" si="91"/>
        <v>0</v>
      </c>
      <c r="AD1168" s="34">
        <f t="shared" si="92"/>
        <v>0</v>
      </c>
      <c r="AE1168" s="34">
        <f t="shared" si="93"/>
        <v>0</v>
      </c>
      <c r="AF1168" s="34">
        <f t="shared" si="94"/>
        <v>0</v>
      </c>
      <c r="AG1168" s="34">
        <f t="shared" si="95"/>
        <v>0</v>
      </c>
      <c r="AH1168" s="34">
        <f t="shared" si="96"/>
        <v>0</v>
      </c>
      <c r="AI1168" s="46" t="s">
        <v>89</v>
      </c>
      <c r="AJ1168" s="34">
        <f t="shared" si="97"/>
        <v>0</v>
      </c>
      <c r="AK1168" s="34">
        <f t="shared" si="98"/>
        <v>0</v>
      </c>
      <c r="AL1168" s="34">
        <f t="shared" si="99"/>
        <v>0</v>
      </c>
      <c r="AN1168" s="34">
        <v>21</v>
      </c>
      <c r="AO1168" s="34">
        <f t="shared" si="100"/>
        <v>0</v>
      </c>
      <c r="AP1168" s="34">
        <f t="shared" si="101"/>
        <v>0</v>
      </c>
      <c r="AQ1168" s="65" t="s">
        <v>175</v>
      </c>
      <c r="AV1168" s="34">
        <f t="shared" si="102"/>
        <v>0</v>
      </c>
      <c r="AW1168" s="34">
        <f t="shared" si="103"/>
        <v>0</v>
      </c>
      <c r="AX1168" s="34">
        <f t="shared" si="104"/>
        <v>0</v>
      </c>
      <c r="AY1168" s="65" t="s">
        <v>2166</v>
      </c>
      <c r="AZ1168" s="65" t="s">
        <v>2132</v>
      </c>
      <c r="BA1168" s="46" t="s">
        <v>2133</v>
      </c>
      <c r="BC1168" s="34">
        <f t="shared" si="105"/>
        <v>0</v>
      </c>
      <c r="BD1168" s="34">
        <f t="shared" si="106"/>
        <v>0</v>
      </c>
      <c r="BE1168" s="34">
        <v>0</v>
      </c>
      <c r="BF1168" s="34">
        <f>1168</f>
        <v>1168</v>
      </c>
      <c r="BH1168" s="34">
        <f t="shared" si="107"/>
        <v>0</v>
      </c>
      <c r="BI1168" s="34">
        <f t="shared" si="108"/>
        <v>0</v>
      </c>
      <c r="BJ1168" s="34">
        <f t="shared" si="109"/>
        <v>0</v>
      </c>
      <c r="BK1168" s="34"/>
      <c r="BL1168" s="34">
        <v>734</v>
      </c>
      <c r="BW1168" s="34">
        <v>21</v>
      </c>
      <c r="BX1168" s="3" t="s">
        <v>2199</v>
      </c>
    </row>
    <row r="1169" spans="1:76" x14ac:dyDescent="0.25">
      <c r="A1169" s="60" t="s">
        <v>4</v>
      </c>
      <c r="B1169" s="61" t="s">
        <v>89</v>
      </c>
      <c r="C1169" s="61" t="s">
        <v>2200</v>
      </c>
      <c r="D1169" s="167" t="s">
        <v>2201</v>
      </c>
      <c r="E1169" s="168"/>
      <c r="F1169" s="62" t="s">
        <v>79</v>
      </c>
      <c r="G1169" s="62" t="s">
        <v>79</v>
      </c>
      <c r="H1169" s="63" t="s">
        <v>79</v>
      </c>
      <c r="I1169" s="39">
        <f>SUM(I1170:I1186)</f>
        <v>0</v>
      </c>
      <c r="J1169" s="46" t="s">
        <v>4</v>
      </c>
      <c r="K1169" s="59"/>
      <c r="AI1169" s="46" t="s">
        <v>89</v>
      </c>
      <c r="AS1169" s="39">
        <f>SUM(AJ1170:AJ1186)</f>
        <v>0</v>
      </c>
      <c r="AT1169" s="39">
        <f>SUM(AK1170:AK1186)</f>
        <v>0</v>
      </c>
      <c r="AU1169" s="39">
        <f>SUM(AL1170:AL1186)</f>
        <v>0</v>
      </c>
    </row>
    <row r="1170" spans="1:76" x14ac:dyDescent="0.25">
      <c r="A1170" s="1" t="s">
        <v>2202</v>
      </c>
      <c r="B1170" s="2" t="s">
        <v>89</v>
      </c>
      <c r="C1170" s="2" t="s">
        <v>2203</v>
      </c>
      <c r="D1170" s="86" t="s">
        <v>2204</v>
      </c>
      <c r="E1170" s="81"/>
      <c r="F1170" s="2" t="s">
        <v>258</v>
      </c>
      <c r="G1170" s="34">
        <v>15</v>
      </c>
      <c r="H1170" s="64">
        <v>0</v>
      </c>
      <c r="I1170" s="34">
        <f t="shared" ref="I1170:I1186" si="110">ROUND(G1170*H1170,2)</f>
        <v>0</v>
      </c>
      <c r="J1170" s="65" t="s">
        <v>4</v>
      </c>
      <c r="K1170" s="59"/>
      <c r="Z1170" s="34">
        <f t="shared" ref="Z1170:Z1186" si="111">ROUND(IF(AQ1170="5",BJ1170,0),2)</f>
        <v>0</v>
      </c>
      <c r="AB1170" s="34">
        <f t="shared" ref="AB1170:AB1186" si="112">ROUND(IF(AQ1170="1",BH1170,0),2)</f>
        <v>0</v>
      </c>
      <c r="AC1170" s="34">
        <f t="shared" ref="AC1170:AC1186" si="113">ROUND(IF(AQ1170="1",BI1170,0),2)</f>
        <v>0</v>
      </c>
      <c r="AD1170" s="34">
        <f t="shared" ref="AD1170:AD1186" si="114">ROUND(IF(AQ1170="7",BH1170,0),2)</f>
        <v>0</v>
      </c>
      <c r="AE1170" s="34">
        <f t="shared" ref="AE1170:AE1186" si="115">ROUND(IF(AQ1170="7",BI1170,0),2)</f>
        <v>0</v>
      </c>
      <c r="AF1170" s="34">
        <f t="shared" ref="AF1170:AF1186" si="116">ROUND(IF(AQ1170="2",BH1170,0),2)</f>
        <v>0</v>
      </c>
      <c r="AG1170" s="34">
        <f t="shared" ref="AG1170:AG1186" si="117">ROUND(IF(AQ1170="2",BI1170,0),2)</f>
        <v>0</v>
      </c>
      <c r="AH1170" s="34">
        <f t="shared" ref="AH1170:AH1186" si="118">ROUND(IF(AQ1170="0",BJ1170,0),2)</f>
        <v>0</v>
      </c>
      <c r="AI1170" s="46" t="s">
        <v>89</v>
      </c>
      <c r="AJ1170" s="34">
        <f t="shared" ref="AJ1170:AJ1186" si="119">IF(AN1170=0,I1170,0)</f>
        <v>0</v>
      </c>
      <c r="AK1170" s="34">
        <f t="shared" ref="AK1170:AK1186" si="120">IF(AN1170=12,I1170,0)</f>
        <v>0</v>
      </c>
      <c r="AL1170" s="34">
        <f t="shared" ref="AL1170:AL1186" si="121">IF(AN1170=21,I1170,0)</f>
        <v>0</v>
      </c>
      <c r="AN1170" s="34">
        <v>21</v>
      </c>
      <c r="AO1170" s="34">
        <f t="shared" ref="AO1170:AO1186" si="122">H1170*0</f>
        <v>0</v>
      </c>
      <c r="AP1170" s="34">
        <f t="shared" ref="AP1170:AP1186" si="123">H1170*(1-0)</f>
        <v>0</v>
      </c>
      <c r="AQ1170" s="65" t="s">
        <v>175</v>
      </c>
      <c r="AV1170" s="34">
        <f t="shared" ref="AV1170:AV1186" si="124">ROUND(AW1170+AX1170,2)</f>
        <v>0</v>
      </c>
      <c r="AW1170" s="34">
        <f t="shared" ref="AW1170:AW1186" si="125">ROUND(G1170*AO1170,2)</f>
        <v>0</v>
      </c>
      <c r="AX1170" s="34">
        <f t="shared" ref="AX1170:AX1186" si="126">ROUND(G1170*AP1170,2)</f>
        <v>0</v>
      </c>
      <c r="AY1170" s="65" t="s">
        <v>2205</v>
      </c>
      <c r="AZ1170" s="65" t="s">
        <v>2132</v>
      </c>
      <c r="BA1170" s="46" t="s">
        <v>2133</v>
      </c>
      <c r="BC1170" s="34">
        <f t="shared" ref="BC1170:BC1186" si="127">AW1170+AX1170</f>
        <v>0</v>
      </c>
      <c r="BD1170" s="34">
        <f t="shared" ref="BD1170:BD1186" si="128">H1170/(100-BE1170)*100</f>
        <v>0</v>
      </c>
      <c r="BE1170" s="34">
        <v>0</v>
      </c>
      <c r="BF1170" s="34">
        <f>1170</f>
        <v>1170</v>
      </c>
      <c r="BH1170" s="34">
        <f t="shared" ref="BH1170:BH1186" si="129">G1170*AO1170</f>
        <v>0</v>
      </c>
      <c r="BI1170" s="34">
        <f t="shared" ref="BI1170:BI1186" si="130">G1170*AP1170</f>
        <v>0</v>
      </c>
      <c r="BJ1170" s="34">
        <f t="shared" ref="BJ1170:BJ1186" si="131">G1170*H1170</f>
        <v>0</v>
      </c>
      <c r="BK1170" s="34"/>
      <c r="BL1170" s="34">
        <v>735</v>
      </c>
      <c r="BW1170" s="34">
        <v>21</v>
      </c>
      <c r="BX1170" s="3" t="s">
        <v>2204</v>
      </c>
    </row>
    <row r="1171" spans="1:76" x14ac:dyDescent="0.25">
      <c r="A1171" s="1" t="s">
        <v>2206</v>
      </c>
      <c r="B1171" s="2" t="s">
        <v>89</v>
      </c>
      <c r="C1171" s="2" t="s">
        <v>2207</v>
      </c>
      <c r="D1171" s="86" t="s">
        <v>2208</v>
      </c>
      <c r="E1171" s="81"/>
      <c r="F1171" s="2" t="s">
        <v>258</v>
      </c>
      <c r="G1171" s="34">
        <v>3</v>
      </c>
      <c r="H1171" s="64">
        <v>0</v>
      </c>
      <c r="I1171" s="34">
        <f t="shared" si="110"/>
        <v>0</v>
      </c>
      <c r="J1171" s="65" t="s">
        <v>4</v>
      </c>
      <c r="K1171" s="59"/>
      <c r="Z1171" s="34">
        <f t="shared" si="111"/>
        <v>0</v>
      </c>
      <c r="AB1171" s="34">
        <f t="shared" si="112"/>
        <v>0</v>
      </c>
      <c r="AC1171" s="34">
        <f t="shared" si="113"/>
        <v>0</v>
      </c>
      <c r="AD1171" s="34">
        <f t="shared" si="114"/>
        <v>0</v>
      </c>
      <c r="AE1171" s="34">
        <f t="shared" si="115"/>
        <v>0</v>
      </c>
      <c r="AF1171" s="34">
        <f t="shared" si="116"/>
        <v>0</v>
      </c>
      <c r="AG1171" s="34">
        <f t="shared" si="117"/>
        <v>0</v>
      </c>
      <c r="AH1171" s="34">
        <f t="shared" si="118"/>
        <v>0</v>
      </c>
      <c r="AI1171" s="46" t="s">
        <v>89</v>
      </c>
      <c r="AJ1171" s="34">
        <f t="shared" si="119"/>
        <v>0</v>
      </c>
      <c r="AK1171" s="34">
        <f t="shared" si="120"/>
        <v>0</v>
      </c>
      <c r="AL1171" s="34">
        <f t="shared" si="121"/>
        <v>0</v>
      </c>
      <c r="AN1171" s="34">
        <v>21</v>
      </c>
      <c r="AO1171" s="34">
        <f t="shared" si="122"/>
        <v>0</v>
      </c>
      <c r="AP1171" s="34">
        <f t="shared" si="123"/>
        <v>0</v>
      </c>
      <c r="AQ1171" s="65" t="s">
        <v>175</v>
      </c>
      <c r="AV1171" s="34">
        <f t="shared" si="124"/>
        <v>0</v>
      </c>
      <c r="AW1171" s="34">
        <f t="shared" si="125"/>
        <v>0</v>
      </c>
      <c r="AX1171" s="34">
        <f t="shared" si="126"/>
        <v>0</v>
      </c>
      <c r="AY1171" s="65" t="s">
        <v>2205</v>
      </c>
      <c r="AZ1171" s="65" t="s">
        <v>2132</v>
      </c>
      <c r="BA1171" s="46" t="s">
        <v>2133</v>
      </c>
      <c r="BC1171" s="34">
        <f t="shared" si="127"/>
        <v>0</v>
      </c>
      <c r="BD1171" s="34">
        <f t="shared" si="128"/>
        <v>0</v>
      </c>
      <c r="BE1171" s="34">
        <v>0</v>
      </c>
      <c r="BF1171" s="34">
        <f>1171</f>
        <v>1171</v>
      </c>
      <c r="BH1171" s="34">
        <f t="shared" si="129"/>
        <v>0</v>
      </c>
      <c r="BI1171" s="34">
        <f t="shared" si="130"/>
        <v>0</v>
      </c>
      <c r="BJ1171" s="34">
        <f t="shared" si="131"/>
        <v>0</v>
      </c>
      <c r="BK1171" s="34"/>
      <c r="BL1171" s="34">
        <v>735</v>
      </c>
      <c r="BW1171" s="34">
        <v>21</v>
      </c>
      <c r="BX1171" s="3" t="s">
        <v>2208</v>
      </c>
    </row>
    <row r="1172" spans="1:76" x14ac:dyDescent="0.25">
      <c r="A1172" s="1" t="s">
        <v>2209</v>
      </c>
      <c r="B1172" s="2" t="s">
        <v>89</v>
      </c>
      <c r="C1172" s="2" t="s">
        <v>2210</v>
      </c>
      <c r="D1172" s="86" t="s">
        <v>2211</v>
      </c>
      <c r="E1172" s="81"/>
      <c r="F1172" s="2" t="s">
        <v>258</v>
      </c>
      <c r="G1172" s="34">
        <v>1</v>
      </c>
      <c r="H1172" s="64">
        <v>0</v>
      </c>
      <c r="I1172" s="34">
        <f t="shared" si="110"/>
        <v>0</v>
      </c>
      <c r="J1172" s="65" t="s">
        <v>4</v>
      </c>
      <c r="K1172" s="59"/>
      <c r="Z1172" s="34">
        <f t="shared" si="111"/>
        <v>0</v>
      </c>
      <c r="AB1172" s="34">
        <f t="shared" si="112"/>
        <v>0</v>
      </c>
      <c r="AC1172" s="34">
        <f t="shared" si="113"/>
        <v>0</v>
      </c>
      <c r="AD1172" s="34">
        <f t="shared" si="114"/>
        <v>0</v>
      </c>
      <c r="AE1172" s="34">
        <f t="shared" si="115"/>
        <v>0</v>
      </c>
      <c r="AF1172" s="34">
        <f t="shared" si="116"/>
        <v>0</v>
      </c>
      <c r="AG1172" s="34">
        <f t="shared" si="117"/>
        <v>0</v>
      </c>
      <c r="AH1172" s="34">
        <f t="shared" si="118"/>
        <v>0</v>
      </c>
      <c r="AI1172" s="46" t="s">
        <v>89</v>
      </c>
      <c r="AJ1172" s="34">
        <f t="shared" si="119"/>
        <v>0</v>
      </c>
      <c r="AK1172" s="34">
        <f t="shared" si="120"/>
        <v>0</v>
      </c>
      <c r="AL1172" s="34">
        <f t="shared" si="121"/>
        <v>0</v>
      </c>
      <c r="AN1172" s="34">
        <v>21</v>
      </c>
      <c r="AO1172" s="34">
        <f t="shared" si="122"/>
        <v>0</v>
      </c>
      <c r="AP1172" s="34">
        <f t="shared" si="123"/>
        <v>0</v>
      </c>
      <c r="AQ1172" s="65" t="s">
        <v>175</v>
      </c>
      <c r="AV1172" s="34">
        <f t="shared" si="124"/>
        <v>0</v>
      </c>
      <c r="AW1172" s="34">
        <f t="shared" si="125"/>
        <v>0</v>
      </c>
      <c r="AX1172" s="34">
        <f t="shared" si="126"/>
        <v>0</v>
      </c>
      <c r="AY1172" s="65" t="s">
        <v>2205</v>
      </c>
      <c r="AZ1172" s="65" t="s">
        <v>2132</v>
      </c>
      <c r="BA1172" s="46" t="s">
        <v>2133</v>
      </c>
      <c r="BC1172" s="34">
        <f t="shared" si="127"/>
        <v>0</v>
      </c>
      <c r="BD1172" s="34">
        <f t="shared" si="128"/>
        <v>0</v>
      </c>
      <c r="BE1172" s="34">
        <v>0</v>
      </c>
      <c r="BF1172" s="34">
        <f>1172</f>
        <v>1172</v>
      </c>
      <c r="BH1172" s="34">
        <f t="shared" si="129"/>
        <v>0</v>
      </c>
      <c r="BI1172" s="34">
        <f t="shared" si="130"/>
        <v>0</v>
      </c>
      <c r="BJ1172" s="34">
        <f t="shared" si="131"/>
        <v>0</v>
      </c>
      <c r="BK1172" s="34"/>
      <c r="BL1172" s="34">
        <v>735</v>
      </c>
      <c r="BW1172" s="34">
        <v>21</v>
      </c>
      <c r="BX1172" s="3" t="s">
        <v>2211</v>
      </c>
    </row>
    <row r="1173" spans="1:76" x14ac:dyDescent="0.25">
      <c r="A1173" s="1" t="s">
        <v>2212</v>
      </c>
      <c r="B1173" s="2" t="s">
        <v>89</v>
      </c>
      <c r="C1173" s="2" t="s">
        <v>2213</v>
      </c>
      <c r="D1173" s="86" t="s">
        <v>2214</v>
      </c>
      <c r="E1173" s="81"/>
      <c r="F1173" s="2" t="s">
        <v>258</v>
      </c>
      <c r="G1173" s="34">
        <v>1</v>
      </c>
      <c r="H1173" s="64">
        <v>0</v>
      </c>
      <c r="I1173" s="34">
        <f t="shared" si="110"/>
        <v>0</v>
      </c>
      <c r="J1173" s="65" t="s">
        <v>4</v>
      </c>
      <c r="K1173" s="59"/>
      <c r="Z1173" s="34">
        <f t="shared" si="111"/>
        <v>0</v>
      </c>
      <c r="AB1173" s="34">
        <f t="shared" si="112"/>
        <v>0</v>
      </c>
      <c r="AC1173" s="34">
        <f t="shared" si="113"/>
        <v>0</v>
      </c>
      <c r="AD1173" s="34">
        <f t="shared" si="114"/>
        <v>0</v>
      </c>
      <c r="AE1173" s="34">
        <f t="shared" si="115"/>
        <v>0</v>
      </c>
      <c r="AF1173" s="34">
        <f t="shared" si="116"/>
        <v>0</v>
      </c>
      <c r="AG1173" s="34">
        <f t="shared" si="117"/>
        <v>0</v>
      </c>
      <c r="AH1173" s="34">
        <f t="shared" si="118"/>
        <v>0</v>
      </c>
      <c r="AI1173" s="46" t="s">
        <v>89</v>
      </c>
      <c r="AJ1173" s="34">
        <f t="shared" si="119"/>
        <v>0</v>
      </c>
      <c r="AK1173" s="34">
        <f t="shared" si="120"/>
        <v>0</v>
      </c>
      <c r="AL1173" s="34">
        <f t="shared" si="121"/>
        <v>0</v>
      </c>
      <c r="AN1173" s="34">
        <v>21</v>
      </c>
      <c r="AO1173" s="34">
        <f t="shared" si="122"/>
        <v>0</v>
      </c>
      <c r="AP1173" s="34">
        <f t="shared" si="123"/>
        <v>0</v>
      </c>
      <c r="AQ1173" s="65" t="s">
        <v>175</v>
      </c>
      <c r="AV1173" s="34">
        <f t="shared" si="124"/>
        <v>0</v>
      </c>
      <c r="AW1173" s="34">
        <f t="shared" si="125"/>
        <v>0</v>
      </c>
      <c r="AX1173" s="34">
        <f t="shared" si="126"/>
        <v>0</v>
      </c>
      <c r="AY1173" s="65" t="s">
        <v>2205</v>
      </c>
      <c r="AZ1173" s="65" t="s">
        <v>2132</v>
      </c>
      <c r="BA1173" s="46" t="s">
        <v>2133</v>
      </c>
      <c r="BC1173" s="34">
        <f t="shared" si="127"/>
        <v>0</v>
      </c>
      <c r="BD1173" s="34">
        <f t="shared" si="128"/>
        <v>0</v>
      </c>
      <c r="BE1173" s="34">
        <v>0</v>
      </c>
      <c r="BF1173" s="34">
        <f>1173</f>
        <v>1173</v>
      </c>
      <c r="BH1173" s="34">
        <f t="shared" si="129"/>
        <v>0</v>
      </c>
      <c r="BI1173" s="34">
        <f t="shared" si="130"/>
        <v>0</v>
      </c>
      <c r="BJ1173" s="34">
        <f t="shared" si="131"/>
        <v>0</v>
      </c>
      <c r="BK1173" s="34"/>
      <c r="BL1173" s="34">
        <v>735</v>
      </c>
      <c r="BW1173" s="34">
        <v>21</v>
      </c>
      <c r="BX1173" s="3" t="s">
        <v>2214</v>
      </c>
    </row>
    <row r="1174" spans="1:76" x14ac:dyDescent="0.25">
      <c r="A1174" s="1" t="s">
        <v>2215</v>
      </c>
      <c r="B1174" s="2" t="s">
        <v>89</v>
      </c>
      <c r="C1174" s="2" t="s">
        <v>2216</v>
      </c>
      <c r="D1174" s="86" t="s">
        <v>2217</v>
      </c>
      <c r="E1174" s="81"/>
      <c r="F1174" s="2" t="s">
        <v>258</v>
      </c>
      <c r="G1174" s="34">
        <v>2</v>
      </c>
      <c r="H1174" s="64">
        <v>0</v>
      </c>
      <c r="I1174" s="34">
        <f t="shared" si="110"/>
        <v>0</v>
      </c>
      <c r="J1174" s="65" t="s">
        <v>4</v>
      </c>
      <c r="K1174" s="59"/>
      <c r="Z1174" s="34">
        <f t="shared" si="111"/>
        <v>0</v>
      </c>
      <c r="AB1174" s="34">
        <f t="shared" si="112"/>
        <v>0</v>
      </c>
      <c r="AC1174" s="34">
        <f t="shared" si="113"/>
        <v>0</v>
      </c>
      <c r="AD1174" s="34">
        <f t="shared" si="114"/>
        <v>0</v>
      </c>
      <c r="AE1174" s="34">
        <f t="shared" si="115"/>
        <v>0</v>
      </c>
      <c r="AF1174" s="34">
        <f t="shared" si="116"/>
        <v>0</v>
      </c>
      <c r="AG1174" s="34">
        <f t="shared" si="117"/>
        <v>0</v>
      </c>
      <c r="AH1174" s="34">
        <f t="shared" si="118"/>
        <v>0</v>
      </c>
      <c r="AI1174" s="46" t="s">
        <v>89</v>
      </c>
      <c r="AJ1174" s="34">
        <f t="shared" si="119"/>
        <v>0</v>
      </c>
      <c r="AK1174" s="34">
        <f t="shared" si="120"/>
        <v>0</v>
      </c>
      <c r="AL1174" s="34">
        <f t="shared" si="121"/>
        <v>0</v>
      </c>
      <c r="AN1174" s="34">
        <v>21</v>
      </c>
      <c r="AO1174" s="34">
        <f t="shared" si="122"/>
        <v>0</v>
      </c>
      <c r="AP1174" s="34">
        <f t="shared" si="123"/>
        <v>0</v>
      </c>
      <c r="AQ1174" s="65" t="s">
        <v>175</v>
      </c>
      <c r="AV1174" s="34">
        <f t="shared" si="124"/>
        <v>0</v>
      </c>
      <c r="AW1174" s="34">
        <f t="shared" si="125"/>
        <v>0</v>
      </c>
      <c r="AX1174" s="34">
        <f t="shared" si="126"/>
        <v>0</v>
      </c>
      <c r="AY1174" s="65" t="s">
        <v>2205</v>
      </c>
      <c r="AZ1174" s="65" t="s">
        <v>2132</v>
      </c>
      <c r="BA1174" s="46" t="s">
        <v>2133</v>
      </c>
      <c r="BC1174" s="34">
        <f t="shared" si="127"/>
        <v>0</v>
      </c>
      <c r="BD1174" s="34">
        <f t="shared" si="128"/>
        <v>0</v>
      </c>
      <c r="BE1174" s="34">
        <v>0</v>
      </c>
      <c r="BF1174" s="34">
        <f>1174</f>
        <v>1174</v>
      </c>
      <c r="BH1174" s="34">
        <f t="shared" si="129"/>
        <v>0</v>
      </c>
      <c r="BI1174" s="34">
        <f t="shared" si="130"/>
        <v>0</v>
      </c>
      <c r="BJ1174" s="34">
        <f t="shared" si="131"/>
        <v>0</v>
      </c>
      <c r="BK1174" s="34"/>
      <c r="BL1174" s="34">
        <v>735</v>
      </c>
      <c r="BW1174" s="34">
        <v>21</v>
      </c>
      <c r="BX1174" s="3" t="s">
        <v>2217</v>
      </c>
    </row>
    <row r="1175" spans="1:76" x14ac:dyDescent="0.25">
      <c r="A1175" s="1" t="s">
        <v>2218</v>
      </c>
      <c r="B1175" s="2" t="s">
        <v>89</v>
      </c>
      <c r="C1175" s="2" t="s">
        <v>2219</v>
      </c>
      <c r="D1175" s="86" t="s">
        <v>2220</v>
      </c>
      <c r="E1175" s="81"/>
      <c r="F1175" s="2" t="s">
        <v>258</v>
      </c>
      <c r="G1175" s="34">
        <v>1</v>
      </c>
      <c r="H1175" s="64">
        <v>0</v>
      </c>
      <c r="I1175" s="34">
        <f t="shared" si="110"/>
        <v>0</v>
      </c>
      <c r="J1175" s="65" t="s">
        <v>4</v>
      </c>
      <c r="K1175" s="59"/>
      <c r="Z1175" s="34">
        <f t="shared" si="111"/>
        <v>0</v>
      </c>
      <c r="AB1175" s="34">
        <f t="shared" si="112"/>
        <v>0</v>
      </c>
      <c r="AC1175" s="34">
        <f t="shared" si="113"/>
        <v>0</v>
      </c>
      <c r="AD1175" s="34">
        <f t="shared" si="114"/>
        <v>0</v>
      </c>
      <c r="AE1175" s="34">
        <f t="shared" si="115"/>
        <v>0</v>
      </c>
      <c r="AF1175" s="34">
        <f t="shared" si="116"/>
        <v>0</v>
      </c>
      <c r="AG1175" s="34">
        <f t="shared" si="117"/>
        <v>0</v>
      </c>
      <c r="AH1175" s="34">
        <f t="shared" si="118"/>
        <v>0</v>
      </c>
      <c r="AI1175" s="46" t="s">
        <v>89</v>
      </c>
      <c r="AJ1175" s="34">
        <f t="shared" si="119"/>
        <v>0</v>
      </c>
      <c r="AK1175" s="34">
        <f t="shared" si="120"/>
        <v>0</v>
      </c>
      <c r="AL1175" s="34">
        <f t="shared" si="121"/>
        <v>0</v>
      </c>
      <c r="AN1175" s="34">
        <v>21</v>
      </c>
      <c r="AO1175" s="34">
        <f t="shared" si="122"/>
        <v>0</v>
      </c>
      <c r="AP1175" s="34">
        <f t="shared" si="123"/>
        <v>0</v>
      </c>
      <c r="AQ1175" s="65" t="s">
        <v>175</v>
      </c>
      <c r="AV1175" s="34">
        <f t="shared" si="124"/>
        <v>0</v>
      </c>
      <c r="AW1175" s="34">
        <f t="shared" si="125"/>
        <v>0</v>
      </c>
      <c r="AX1175" s="34">
        <f t="shared" si="126"/>
        <v>0</v>
      </c>
      <c r="AY1175" s="65" t="s">
        <v>2205</v>
      </c>
      <c r="AZ1175" s="65" t="s">
        <v>2132</v>
      </c>
      <c r="BA1175" s="46" t="s">
        <v>2133</v>
      </c>
      <c r="BC1175" s="34">
        <f t="shared" si="127"/>
        <v>0</v>
      </c>
      <c r="BD1175" s="34">
        <f t="shared" si="128"/>
        <v>0</v>
      </c>
      <c r="BE1175" s="34">
        <v>0</v>
      </c>
      <c r="BF1175" s="34">
        <f>1175</f>
        <v>1175</v>
      </c>
      <c r="BH1175" s="34">
        <f t="shared" si="129"/>
        <v>0</v>
      </c>
      <c r="BI1175" s="34">
        <f t="shared" si="130"/>
        <v>0</v>
      </c>
      <c r="BJ1175" s="34">
        <f t="shared" si="131"/>
        <v>0</v>
      </c>
      <c r="BK1175" s="34"/>
      <c r="BL1175" s="34">
        <v>735</v>
      </c>
      <c r="BW1175" s="34">
        <v>21</v>
      </c>
      <c r="BX1175" s="3" t="s">
        <v>2220</v>
      </c>
    </row>
    <row r="1176" spans="1:76" x14ac:dyDescent="0.25">
      <c r="A1176" s="1" t="s">
        <v>2221</v>
      </c>
      <c r="B1176" s="2" t="s">
        <v>89</v>
      </c>
      <c r="C1176" s="2" t="s">
        <v>2222</v>
      </c>
      <c r="D1176" s="86" t="s">
        <v>2223</v>
      </c>
      <c r="E1176" s="81"/>
      <c r="F1176" s="2" t="s">
        <v>258</v>
      </c>
      <c r="G1176" s="34">
        <v>1</v>
      </c>
      <c r="H1176" s="64">
        <v>0</v>
      </c>
      <c r="I1176" s="34">
        <f t="shared" si="110"/>
        <v>0</v>
      </c>
      <c r="J1176" s="65" t="s">
        <v>4</v>
      </c>
      <c r="K1176" s="59"/>
      <c r="Z1176" s="34">
        <f t="shared" si="111"/>
        <v>0</v>
      </c>
      <c r="AB1176" s="34">
        <f t="shared" si="112"/>
        <v>0</v>
      </c>
      <c r="AC1176" s="34">
        <f t="shared" si="113"/>
        <v>0</v>
      </c>
      <c r="AD1176" s="34">
        <f t="shared" si="114"/>
        <v>0</v>
      </c>
      <c r="AE1176" s="34">
        <f t="shared" si="115"/>
        <v>0</v>
      </c>
      <c r="AF1176" s="34">
        <f t="shared" si="116"/>
        <v>0</v>
      </c>
      <c r="AG1176" s="34">
        <f t="shared" si="117"/>
        <v>0</v>
      </c>
      <c r="AH1176" s="34">
        <f t="shared" si="118"/>
        <v>0</v>
      </c>
      <c r="AI1176" s="46" t="s">
        <v>89</v>
      </c>
      <c r="AJ1176" s="34">
        <f t="shared" si="119"/>
        <v>0</v>
      </c>
      <c r="AK1176" s="34">
        <f t="shared" si="120"/>
        <v>0</v>
      </c>
      <c r="AL1176" s="34">
        <f t="shared" si="121"/>
        <v>0</v>
      </c>
      <c r="AN1176" s="34">
        <v>21</v>
      </c>
      <c r="AO1176" s="34">
        <f t="shared" si="122"/>
        <v>0</v>
      </c>
      <c r="AP1176" s="34">
        <f t="shared" si="123"/>
        <v>0</v>
      </c>
      <c r="AQ1176" s="65" t="s">
        <v>175</v>
      </c>
      <c r="AV1176" s="34">
        <f t="shared" si="124"/>
        <v>0</v>
      </c>
      <c r="AW1176" s="34">
        <f t="shared" si="125"/>
        <v>0</v>
      </c>
      <c r="AX1176" s="34">
        <f t="shared" si="126"/>
        <v>0</v>
      </c>
      <c r="AY1176" s="65" t="s">
        <v>2205</v>
      </c>
      <c r="AZ1176" s="65" t="s">
        <v>2132</v>
      </c>
      <c r="BA1176" s="46" t="s">
        <v>2133</v>
      </c>
      <c r="BC1176" s="34">
        <f t="shared" si="127"/>
        <v>0</v>
      </c>
      <c r="BD1176" s="34">
        <f t="shared" si="128"/>
        <v>0</v>
      </c>
      <c r="BE1176" s="34">
        <v>0</v>
      </c>
      <c r="BF1176" s="34">
        <f>1176</f>
        <v>1176</v>
      </c>
      <c r="BH1176" s="34">
        <f t="shared" si="129"/>
        <v>0</v>
      </c>
      <c r="BI1176" s="34">
        <f t="shared" si="130"/>
        <v>0</v>
      </c>
      <c r="BJ1176" s="34">
        <f t="shared" si="131"/>
        <v>0</v>
      </c>
      <c r="BK1176" s="34"/>
      <c r="BL1176" s="34">
        <v>735</v>
      </c>
      <c r="BW1176" s="34">
        <v>21</v>
      </c>
      <c r="BX1176" s="3" t="s">
        <v>2223</v>
      </c>
    </row>
    <row r="1177" spans="1:76" x14ac:dyDescent="0.25">
      <c r="A1177" s="1" t="s">
        <v>2224</v>
      </c>
      <c r="B1177" s="2" t="s">
        <v>89</v>
      </c>
      <c r="C1177" s="2" t="s">
        <v>2225</v>
      </c>
      <c r="D1177" s="86" t="s">
        <v>2226</v>
      </c>
      <c r="E1177" s="81"/>
      <c r="F1177" s="2" t="s">
        <v>258</v>
      </c>
      <c r="G1177" s="34">
        <v>1</v>
      </c>
      <c r="H1177" s="64">
        <v>0</v>
      </c>
      <c r="I1177" s="34">
        <f t="shared" si="110"/>
        <v>0</v>
      </c>
      <c r="J1177" s="65" t="s">
        <v>4</v>
      </c>
      <c r="K1177" s="59"/>
      <c r="Z1177" s="34">
        <f t="shared" si="111"/>
        <v>0</v>
      </c>
      <c r="AB1177" s="34">
        <f t="shared" si="112"/>
        <v>0</v>
      </c>
      <c r="AC1177" s="34">
        <f t="shared" si="113"/>
        <v>0</v>
      </c>
      <c r="AD1177" s="34">
        <f t="shared" si="114"/>
        <v>0</v>
      </c>
      <c r="AE1177" s="34">
        <f t="shared" si="115"/>
        <v>0</v>
      </c>
      <c r="AF1177" s="34">
        <f t="shared" si="116"/>
        <v>0</v>
      </c>
      <c r="AG1177" s="34">
        <f t="shared" si="117"/>
        <v>0</v>
      </c>
      <c r="AH1177" s="34">
        <f t="shared" si="118"/>
        <v>0</v>
      </c>
      <c r="AI1177" s="46" t="s">
        <v>89</v>
      </c>
      <c r="AJ1177" s="34">
        <f t="shared" si="119"/>
        <v>0</v>
      </c>
      <c r="AK1177" s="34">
        <f t="shared" si="120"/>
        <v>0</v>
      </c>
      <c r="AL1177" s="34">
        <f t="shared" si="121"/>
        <v>0</v>
      </c>
      <c r="AN1177" s="34">
        <v>21</v>
      </c>
      <c r="AO1177" s="34">
        <f t="shared" si="122"/>
        <v>0</v>
      </c>
      <c r="AP1177" s="34">
        <f t="shared" si="123"/>
        <v>0</v>
      </c>
      <c r="AQ1177" s="65" t="s">
        <v>175</v>
      </c>
      <c r="AV1177" s="34">
        <f t="shared" si="124"/>
        <v>0</v>
      </c>
      <c r="AW1177" s="34">
        <f t="shared" si="125"/>
        <v>0</v>
      </c>
      <c r="AX1177" s="34">
        <f t="shared" si="126"/>
        <v>0</v>
      </c>
      <c r="AY1177" s="65" t="s">
        <v>2205</v>
      </c>
      <c r="AZ1177" s="65" t="s">
        <v>2132</v>
      </c>
      <c r="BA1177" s="46" t="s">
        <v>2133</v>
      </c>
      <c r="BC1177" s="34">
        <f t="shared" si="127"/>
        <v>0</v>
      </c>
      <c r="BD1177" s="34">
        <f t="shared" si="128"/>
        <v>0</v>
      </c>
      <c r="BE1177" s="34">
        <v>0</v>
      </c>
      <c r="BF1177" s="34">
        <f>1177</f>
        <v>1177</v>
      </c>
      <c r="BH1177" s="34">
        <f t="shared" si="129"/>
        <v>0</v>
      </c>
      <c r="BI1177" s="34">
        <f t="shared" si="130"/>
        <v>0</v>
      </c>
      <c r="BJ1177" s="34">
        <f t="shared" si="131"/>
        <v>0</v>
      </c>
      <c r="BK1177" s="34"/>
      <c r="BL1177" s="34">
        <v>735</v>
      </c>
      <c r="BW1177" s="34">
        <v>21</v>
      </c>
      <c r="BX1177" s="3" t="s">
        <v>2226</v>
      </c>
    </row>
    <row r="1178" spans="1:76" x14ac:dyDescent="0.25">
      <c r="A1178" s="1" t="s">
        <v>2227</v>
      </c>
      <c r="B1178" s="2" t="s">
        <v>89</v>
      </c>
      <c r="C1178" s="2" t="s">
        <v>2228</v>
      </c>
      <c r="D1178" s="86" t="s">
        <v>2229</v>
      </c>
      <c r="E1178" s="81"/>
      <c r="F1178" s="2" t="s">
        <v>258</v>
      </c>
      <c r="G1178" s="34">
        <v>1</v>
      </c>
      <c r="H1178" s="64">
        <v>0</v>
      </c>
      <c r="I1178" s="34">
        <f t="shared" si="110"/>
        <v>0</v>
      </c>
      <c r="J1178" s="65" t="s">
        <v>4</v>
      </c>
      <c r="K1178" s="59"/>
      <c r="Z1178" s="34">
        <f t="shared" si="111"/>
        <v>0</v>
      </c>
      <c r="AB1178" s="34">
        <f t="shared" si="112"/>
        <v>0</v>
      </c>
      <c r="AC1178" s="34">
        <f t="shared" si="113"/>
        <v>0</v>
      </c>
      <c r="AD1178" s="34">
        <f t="shared" si="114"/>
        <v>0</v>
      </c>
      <c r="AE1178" s="34">
        <f t="shared" si="115"/>
        <v>0</v>
      </c>
      <c r="AF1178" s="34">
        <f t="shared" si="116"/>
        <v>0</v>
      </c>
      <c r="AG1178" s="34">
        <f t="shared" si="117"/>
        <v>0</v>
      </c>
      <c r="AH1178" s="34">
        <f t="shared" si="118"/>
        <v>0</v>
      </c>
      <c r="AI1178" s="46" t="s">
        <v>89</v>
      </c>
      <c r="AJ1178" s="34">
        <f t="shared" si="119"/>
        <v>0</v>
      </c>
      <c r="AK1178" s="34">
        <f t="shared" si="120"/>
        <v>0</v>
      </c>
      <c r="AL1178" s="34">
        <f t="shared" si="121"/>
        <v>0</v>
      </c>
      <c r="AN1178" s="34">
        <v>21</v>
      </c>
      <c r="AO1178" s="34">
        <f t="shared" si="122"/>
        <v>0</v>
      </c>
      <c r="AP1178" s="34">
        <f t="shared" si="123"/>
        <v>0</v>
      </c>
      <c r="AQ1178" s="65" t="s">
        <v>175</v>
      </c>
      <c r="AV1178" s="34">
        <f t="shared" si="124"/>
        <v>0</v>
      </c>
      <c r="AW1178" s="34">
        <f t="shared" si="125"/>
        <v>0</v>
      </c>
      <c r="AX1178" s="34">
        <f t="shared" si="126"/>
        <v>0</v>
      </c>
      <c r="AY1178" s="65" t="s">
        <v>2205</v>
      </c>
      <c r="AZ1178" s="65" t="s">
        <v>2132</v>
      </c>
      <c r="BA1178" s="46" t="s">
        <v>2133</v>
      </c>
      <c r="BC1178" s="34">
        <f t="shared" si="127"/>
        <v>0</v>
      </c>
      <c r="BD1178" s="34">
        <f t="shared" si="128"/>
        <v>0</v>
      </c>
      <c r="BE1178" s="34">
        <v>0</v>
      </c>
      <c r="BF1178" s="34">
        <f>1178</f>
        <v>1178</v>
      </c>
      <c r="BH1178" s="34">
        <f t="shared" si="129"/>
        <v>0</v>
      </c>
      <c r="BI1178" s="34">
        <f t="shared" si="130"/>
        <v>0</v>
      </c>
      <c r="BJ1178" s="34">
        <f t="shared" si="131"/>
        <v>0</v>
      </c>
      <c r="BK1178" s="34"/>
      <c r="BL1178" s="34">
        <v>735</v>
      </c>
      <c r="BW1178" s="34">
        <v>21</v>
      </c>
      <c r="BX1178" s="3" t="s">
        <v>2229</v>
      </c>
    </row>
    <row r="1179" spans="1:76" x14ac:dyDescent="0.25">
      <c r="A1179" s="1" t="s">
        <v>2230</v>
      </c>
      <c r="B1179" s="2" t="s">
        <v>89</v>
      </c>
      <c r="C1179" s="2" t="s">
        <v>2231</v>
      </c>
      <c r="D1179" s="86" t="s">
        <v>2232</v>
      </c>
      <c r="E1179" s="81"/>
      <c r="F1179" s="2" t="s">
        <v>258</v>
      </c>
      <c r="G1179" s="34">
        <v>3</v>
      </c>
      <c r="H1179" s="64">
        <v>0</v>
      </c>
      <c r="I1179" s="34">
        <f t="shared" si="110"/>
        <v>0</v>
      </c>
      <c r="J1179" s="65" t="s">
        <v>4</v>
      </c>
      <c r="K1179" s="59"/>
      <c r="Z1179" s="34">
        <f t="shared" si="111"/>
        <v>0</v>
      </c>
      <c r="AB1179" s="34">
        <f t="shared" si="112"/>
        <v>0</v>
      </c>
      <c r="AC1179" s="34">
        <f t="shared" si="113"/>
        <v>0</v>
      </c>
      <c r="AD1179" s="34">
        <f t="shared" si="114"/>
        <v>0</v>
      </c>
      <c r="AE1179" s="34">
        <f t="shared" si="115"/>
        <v>0</v>
      </c>
      <c r="AF1179" s="34">
        <f t="shared" si="116"/>
        <v>0</v>
      </c>
      <c r="AG1179" s="34">
        <f t="shared" si="117"/>
        <v>0</v>
      </c>
      <c r="AH1179" s="34">
        <f t="shared" si="118"/>
        <v>0</v>
      </c>
      <c r="AI1179" s="46" t="s">
        <v>89</v>
      </c>
      <c r="AJ1179" s="34">
        <f t="shared" si="119"/>
        <v>0</v>
      </c>
      <c r="AK1179" s="34">
        <f t="shared" si="120"/>
        <v>0</v>
      </c>
      <c r="AL1179" s="34">
        <f t="shared" si="121"/>
        <v>0</v>
      </c>
      <c r="AN1179" s="34">
        <v>21</v>
      </c>
      <c r="AO1179" s="34">
        <f t="shared" si="122"/>
        <v>0</v>
      </c>
      <c r="AP1179" s="34">
        <f t="shared" si="123"/>
        <v>0</v>
      </c>
      <c r="AQ1179" s="65" t="s">
        <v>175</v>
      </c>
      <c r="AV1179" s="34">
        <f t="shared" si="124"/>
        <v>0</v>
      </c>
      <c r="AW1179" s="34">
        <f t="shared" si="125"/>
        <v>0</v>
      </c>
      <c r="AX1179" s="34">
        <f t="shared" si="126"/>
        <v>0</v>
      </c>
      <c r="AY1179" s="65" t="s">
        <v>2205</v>
      </c>
      <c r="AZ1179" s="65" t="s">
        <v>2132</v>
      </c>
      <c r="BA1179" s="46" t="s">
        <v>2133</v>
      </c>
      <c r="BC1179" s="34">
        <f t="shared" si="127"/>
        <v>0</v>
      </c>
      <c r="BD1179" s="34">
        <f t="shared" si="128"/>
        <v>0</v>
      </c>
      <c r="BE1179" s="34">
        <v>0</v>
      </c>
      <c r="BF1179" s="34">
        <f>1179</f>
        <v>1179</v>
      </c>
      <c r="BH1179" s="34">
        <f t="shared" si="129"/>
        <v>0</v>
      </c>
      <c r="BI1179" s="34">
        <f t="shared" si="130"/>
        <v>0</v>
      </c>
      <c r="BJ1179" s="34">
        <f t="shared" si="131"/>
        <v>0</v>
      </c>
      <c r="BK1179" s="34"/>
      <c r="BL1179" s="34">
        <v>735</v>
      </c>
      <c r="BW1179" s="34">
        <v>21</v>
      </c>
      <c r="BX1179" s="3" t="s">
        <v>2232</v>
      </c>
    </row>
    <row r="1180" spans="1:76" x14ac:dyDescent="0.25">
      <c r="A1180" s="1" t="s">
        <v>2233</v>
      </c>
      <c r="B1180" s="2" t="s">
        <v>89</v>
      </c>
      <c r="C1180" s="2" t="s">
        <v>2234</v>
      </c>
      <c r="D1180" s="86" t="s">
        <v>2235</v>
      </c>
      <c r="E1180" s="81"/>
      <c r="F1180" s="2" t="s">
        <v>258</v>
      </c>
      <c r="G1180" s="34">
        <v>1</v>
      </c>
      <c r="H1180" s="64">
        <v>0</v>
      </c>
      <c r="I1180" s="34">
        <f t="shared" si="110"/>
        <v>0</v>
      </c>
      <c r="J1180" s="65" t="s">
        <v>4</v>
      </c>
      <c r="K1180" s="59"/>
      <c r="Z1180" s="34">
        <f t="shared" si="111"/>
        <v>0</v>
      </c>
      <c r="AB1180" s="34">
        <f t="shared" si="112"/>
        <v>0</v>
      </c>
      <c r="AC1180" s="34">
        <f t="shared" si="113"/>
        <v>0</v>
      </c>
      <c r="AD1180" s="34">
        <f t="shared" si="114"/>
        <v>0</v>
      </c>
      <c r="AE1180" s="34">
        <f t="shared" si="115"/>
        <v>0</v>
      </c>
      <c r="AF1180" s="34">
        <f t="shared" si="116"/>
        <v>0</v>
      </c>
      <c r="AG1180" s="34">
        <f t="shared" si="117"/>
        <v>0</v>
      </c>
      <c r="AH1180" s="34">
        <f t="shared" si="118"/>
        <v>0</v>
      </c>
      <c r="AI1180" s="46" t="s">
        <v>89</v>
      </c>
      <c r="AJ1180" s="34">
        <f t="shared" si="119"/>
        <v>0</v>
      </c>
      <c r="AK1180" s="34">
        <f t="shared" si="120"/>
        <v>0</v>
      </c>
      <c r="AL1180" s="34">
        <f t="shared" si="121"/>
        <v>0</v>
      </c>
      <c r="AN1180" s="34">
        <v>21</v>
      </c>
      <c r="AO1180" s="34">
        <f t="shared" si="122"/>
        <v>0</v>
      </c>
      <c r="AP1180" s="34">
        <f t="shared" si="123"/>
        <v>0</v>
      </c>
      <c r="AQ1180" s="65" t="s">
        <v>175</v>
      </c>
      <c r="AV1180" s="34">
        <f t="shared" si="124"/>
        <v>0</v>
      </c>
      <c r="AW1180" s="34">
        <f t="shared" si="125"/>
        <v>0</v>
      </c>
      <c r="AX1180" s="34">
        <f t="shared" si="126"/>
        <v>0</v>
      </c>
      <c r="AY1180" s="65" t="s">
        <v>2205</v>
      </c>
      <c r="AZ1180" s="65" t="s">
        <v>2132</v>
      </c>
      <c r="BA1180" s="46" t="s">
        <v>2133</v>
      </c>
      <c r="BC1180" s="34">
        <f t="shared" si="127"/>
        <v>0</v>
      </c>
      <c r="BD1180" s="34">
        <f t="shared" si="128"/>
        <v>0</v>
      </c>
      <c r="BE1180" s="34">
        <v>0</v>
      </c>
      <c r="BF1180" s="34">
        <f>1180</f>
        <v>1180</v>
      </c>
      <c r="BH1180" s="34">
        <f t="shared" si="129"/>
        <v>0</v>
      </c>
      <c r="BI1180" s="34">
        <f t="shared" si="130"/>
        <v>0</v>
      </c>
      <c r="BJ1180" s="34">
        <f t="shared" si="131"/>
        <v>0</v>
      </c>
      <c r="BK1180" s="34"/>
      <c r="BL1180" s="34">
        <v>735</v>
      </c>
      <c r="BW1180" s="34">
        <v>21</v>
      </c>
      <c r="BX1180" s="3" t="s">
        <v>2235</v>
      </c>
    </row>
    <row r="1181" spans="1:76" x14ac:dyDescent="0.25">
      <c r="A1181" s="1" t="s">
        <v>2236</v>
      </c>
      <c r="B1181" s="2" t="s">
        <v>89</v>
      </c>
      <c r="C1181" s="2" t="s">
        <v>2237</v>
      </c>
      <c r="D1181" s="86" t="s">
        <v>2238</v>
      </c>
      <c r="E1181" s="81"/>
      <c r="F1181" s="2" t="s">
        <v>258</v>
      </c>
      <c r="G1181" s="34">
        <v>9</v>
      </c>
      <c r="H1181" s="64">
        <v>0</v>
      </c>
      <c r="I1181" s="34">
        <f t="shared" si="110"/>
        <v>0</v>
      </c>
      <c r="J1181" s="65" t="s">
        <v>4</v>
      </c>
      <c r="K1181" s="59"/>
      <c r="Z1181" s="34">
        <f t="shared" si="111"/>
        <v>0</v>
      </c>
      <c r="AB1181" s="34">
        <f t="shared" si="112"/>
        <v>0</v>
      </c>
      <c r="AC1181" s="34">
        <f t="shared" si="113"/>
        <v>0</v>
      </c>
      <c r="AD1181" s="34">
        <f t="shared" si="114"/>
        <v>0</v>
      </c>
      <c r="AE1181" s="34">
        <f t="shared" si="115"/>
        <v>0</v>
      </c>
      <c r="AF1181" s="34">
        <f t="shared" si="116"/>
        <v>0</v>
      </c>
      <c r="AG1181" s="34">
        <f t="shared" si="117"/>
        <v>0</v>
      </c>
      <c r="AH1181" s="34">
        <f t="shared" si="118"/>
        <v>0</v>
      </c>
      <c r="AI1181" s="46" t="s">
        <v>89</v>
      </c>
      <c r="AJ1181" s="34">
        <f t="shared" si="119"/>
        <v>0</v>
      </c>
      <c r="AK1181" s="34">
        <f t="shared" si="120"/>
        <v>0</v>
      </c>
      <c r="AL1181" s="34">
        <f t="shared" si="121"/>
        <v>0</v>
      </c>
      <c r="AN1181" s="34">
        <v>21</v>
      </c>
      <c r="AO1181" s="34">
        <f t="shared" si="122"/>
        <v>0</v>
      </c>
      <c r="AP1181" s="34">
        <f t="shared" si="123"/>
        <v>0</v>
      </c>
      <c r="AQ1181" s="65" t="s">
        <v>175</v>
      </c>
      <c r="AV1181" s="34">
        <f t="shared" si="124"/>
        <v>0</v>
      </c>
      <c r="AW1181" s="34">
        <f t="shared" si="125"/>
        <v>0</v>
      </c>
      <c r="AX1181" s="34">
        <f t="shared" si="126"/>
        <v>0</v>
      </c>
      <c r="AY1181" s="65" t="s">
        <v>2205</v>
      </c>
      <c r="AZ1181" s="65" t="s">
        <v>2132</v>
      </c>
      <c r="BA1181" s="46" t="s">
        <v>2133</v>
      </c>
      <c r="BC1181" s="34">
        <f t="shared" si="127"/>
        <v>0</v>
      </c>
      <c r="BD1181" s="34">
        <f t="shared" si="128"/>
        <v>0</v>
      </c>
      <c r="BE1181" s="34">
        <v>0</v>
      </c>
      <c r="BF1181" s="34">
        <f>1181</f>
        <v>1181</v>
      </c>
      <c r="BH1181" s="34">
        <f t="shared" si="129"/>
        <v>0</v>
      </c>
      <c r="BI1181" s="34">
        <f t="shared" si="130"/>
        <v>0</v>
      </c>
      <c r="BJ1181" s="34">
        <f t="shared" si="131"/>
        <v>0</v>
      </c>
      <c r="BK1181" s="34"/>
      <c r="BL1181" s="34">
        <v>735</v>
      </c>
      <c r="BW1181" s="34">
        <v>21</v>
      </c>
      <c r="BX1181" s="3" t="s">
        <v>2238</v>
      </c>
    </row>
    <row r="1182" spans="1:76" x14ac:dyDescent="0.25">
      <c r="A1182" s="1" t="s">
        <v>2239</v>
      </c>
      <c r="B1182" s="2" t="s">
        <v>89</v>
      </c>
      <c r="C1182" s="2" t="s">
        <v>2240</v>
      </c>
      <c r="D1182" s="86" t="s">
        <v>2241</v>
      </c>
      <c r="E1182" s="81"/>
      <c r="F1182" s="2" t="s">
        <v>258</v>
      </c>
      <c r="G1182" s="34">
        <v>6</v>
      </c>
      <c r="H1182" s="64">
        <v>0</v>
      </c>
      <c r="I1182" s="34">
        <f t="shared" si="110"/>
        <v>0</v>
      </c>
      <c r="J1182" s="65" t="s">
        <v>4</v>
      </c>
      <c r="K1182" s="59"/>
      <c r="Z1182" s="34">
        <f t="shared" si="111"/>
        <v>0</v>
      </c>
      <c r="AB1182" s="34">
        <f t="shared" si="112"/>
        <v>0</v>
      </c>
      <c r="AC1182" s="34">
        <f t="shared" si="113"/>
        <v>0</v>
      </c>
      <c r="AD1182" s="34">
        <f t="shared" si="114"/>
        <v>0</v>
      </c>
      <c r="AE1182" s="34">
        <f t="shared" si="115"/>
        <v>0</v>
      </c>
      <c r="AF1182" s="34">
        <f t="shared" si="116"/>
        <v>0</v>
      </c>
      <c r="AG1182" s="34">
        <f t="shared" si="117"/>
        <v>0</v>
      </c>
      <c r="AH1182" s="34">
        <f t="shared" si="118"/>
        <v>0</v>
      </c>
      <c r="AI1182" s="46" t="s">
        <v>89</v>
      </c>
      <c r="AJ1182" s="34">
        <f t="shared" si="119"/>
        <v>0</v>
      </c>
      <c r="AK1182" s="34">
        <f t="shared" si="120"/>
        <v>0</v>
      </c>
      <c r="AL1182" s="34">
        <f t="shared" si="121"/>
        <v>0</v>
      </c>
      <c r="AN1182" s="34">
        <v>21</v>
      </c>
      <c r="AO1182" s="34">
        <f t="shared" si="122"/>
        <v>0</v>
      </c>
      <c r="AP1182" s="34">
        <f t="shared" si="123"/>
        <v>0</v>
      </c>
      <c r="AQ1182" s="65" t="s">
        <v>175</v>
      </c>
      <c r="AV1182" s="34">
        <f t="shared" si="124"/>
        <v>0</v>
      </c>
      <c r="AW1182" s="34">
        <f t="shared" si="125"/>
        <v>0</v>
      </c>
      <c r="AX1182" s="34">
        <f t="shared" si="126"/>
        <v>0</v>
      </c>
      <c r="AY1182" s="65" t="s">
        <v>2205</v>
      </c>
      <c r="AZ1182" s="65" t="s">
        <v>2132</v>
      </c>
      <c r="BA1182" s="46" t="s">
        <v>2133</v>
      </c>
      <c r="BC1182" s="34">
        <f t="shared" si="127"/>
        <v>0</v>
      </c>
      <c r="BD1182" s="34">
        <f t="shared" si="128"/>
        <v>0</v>
      </c>
      <c r="BE1182" s="34">
        <v>0</v>
      </c>
      <c r="BF1182" s="34">
        <f>1182</f>
        <v>1182</v>
      </c>
      <c r="BH1182" s="34">
        <f t="shared" si="129"/>
        <v>0</v>
      </c>
      <c r="BI1182" s="34">
        <f t="shared" si="130"/>
        <v>0</v>
      </c>
      <c r="BJ1182" s="34">
        <f t="shared" si="131"/>
        <v>0</v>
      </c>
      <c r="BK1182" s="34"/>
      <c r="BL1182" s="34">
        <v>735</v>
      </c>
      <c r="BW1182" s="34">
        <v>21</v>
      </c>
      <c r="BX1182" s="3" t="s">
        <v>2241</v>
      </c>
    </row>
    <row r="1183" spans="1:76" x14ac:dyDescent="0.25">
      <c r="A1183" s="1" t="s">
        <v>2242</v>
      </c>
      <c r="B1183" s="2" t="s">
        <v>89</v>
      </c>
      <c r="C1183" s="2" t="s">
        <v>2243</v>
      </c>
      <c r="D1183" s="86" t="s">
        <v>2244</v>
      </c>
      <c r="E1183" s="81"/>
      <c r="F1183" s="2" t="s">
        <v>258</v>
      </c>
      <c r="G1183" s="34">
        <v>7</v>
      </c>
      <c r="H1183" s="64">
        <v>0</v>
      </c>
      <c r="I1183" s="34">
        <f t="shared" si="110"/>
        <v>0</v>
      </c>
      <c r="J1183" s="65" t="s">
        <v>4</v>
      </c>
      <c r="K1183" s="59"/>
      <c r="Z1183" s="34">
        <f t="shared" si="111"/>
        <v>0</v>
      </c>
      <c r="AB1183" s="34">
        <f t="shared" si="112"/>
        <v>0</v>
      </c>
      <c r="AC1183" s="34">
        <f t="shared" si="113"/>
        <v>0</v>
      </c>
      <c r="AD1183" s="34">
        <f t="shared" si="114"/>
        <v>0</v>
      </c>
      <c r="AE1183" s="34">
        <f t="shared" si="115"/>
        <v>0</v>
      </c>
      <c r="AF1183" s="34">
        <f t="shared" si="116"/>
        <v>0</v>
      </c>
      <c r="AG1183" s="34">
        <f t="shared" si="117"/>
        <v>0</v>
      </c>
      <c r="AH1183" s="34">
        <f t="shared" si="118"/>
        <v>0</v>
      </c>
      <c r="AI1183" s="46" t="s">
        <v>89</v>
      </c>
      <c r="AJ1183" s="34">
        <f t="shared" si="119"/>
        <v>0</v>
      </c>
      <c r="AK1183" s="34">
        <f t="shared" si="120"/>
        <v>0</v>
      </c>
      <c r="AL1183" s="34">
        <f t="shared" si="121"/>
        <v>0</v>
      </c>
      <c r="AN1183" s="34">
        <v>21</v>
      </c>
      <c r="AO1183" s="34">
        <f t="shared" si="122"/>
        <v>0</v>
      </c>
      <c r="AP1183" s="34">
        <f t="shared" si="123"/>
        <v>0</v>
      </c>
      <c r="AQ1183" s="65" t="s">
        <v>175</v>
      </c>
      <c r="AV1183" s="34">
        <f t="shared" si="124"/>
        <v>0</v>
      </c>
      <c r="AW1183" s="34">
        <f t="shared" si="125"/>
        <v>0</v>
      </c>
      <c r="AX1183" s="34">
        <f t="shared" si="126"/>
        <v>0</v>
      </c>
      <c r="AY1183" s="65" t="s">
        <v>2205</v>
      </c>
      <c r="AZ1183" s="65" t="s">
        <v>2132</v>
      </c>
      <c r="BA1183" s="46" t="s">
        <v>2133</v>
      </c>
      <c r="BC1183" s="34">
        <f t="shared" si="127"/>
        <v>0</v>
      </c>
      <c r="BD1183" s="34">
        <f t="shared" si="128"/>
        <v>0</v>
      </c>
      <c r="BE1183" s="34">
        <v>0</v>
      </c>
      <c r="BF1183" s="34">
        <f>1183</f>
        <v>1183</v>
      </c>
      <c r="BH1183" s="34">
        <f t="shared" si="129"/>
        <v>0</v>
      </c>
      <c r="BI1183" s="34">
        <f t="shared" si="130"/>
        <v>0</v>
      </c>
      <c r="BJ1183" s="34">
        <f t="shared" si="131"/>
        <v>0</v>
      </c>
      <c r="BK1183" s="34"/>
      <c r="BL1183" s="34">
        <v>735</v>
      </c>
      <c r="BW1183" s="34">
        <v>21</v>
      </c>
      <c r="BX1183" s="3" t="s">
        <v>2244</v>
      </c>
    </row>
    <row r="1184" spans="1:76" x14ac:dyDescent="0.25">
      <c r="A1184" s="1" t="s">
        <v>2245</v>
      </c>
      <c r="B1184" s="2" t="s">
        <v>89</v>
      </c>
      <c r="C1184" s="2" t="s">
        <v>2246</v>
      </c>
      <c r="D1184" s="86" t="s">
        <v>2247</v>
      </c>
      <c r="E1184" s="81"/>
      <c r="F1184" s="2" t="s">
        <v>132</v>
      </c>
      <c r="G1184" s="34">
        <v>30</v>
      </c>
      <c r="H1184" s="64">
        <v>0</v>
      </c>
      <c r="I1184" s="34">
        <f t="shared" si="110"/>
        <v>0</v>
      </c>
      <c r="J1184" s="65" t="s">
        <v>4</v>
      </c>
      <c r="K1184" s="59"/>
      <c r="Z1184" s="34">
        <f t="shared" si="111"/>
        <v>0</v>
      </c>
      <c r="AB1184" s="34">
        <f t="shared" si="112"/>
        <v>0</v>
      </c>
      <c r="AC1184" s="34">
        <f t="shared" si="113"/>
        <v>0</v>
      </c>
      <c r="AD1184" s="34">
        <f t="shared" si="114"/>
        <v>0</v>
      </c>
      <c r="AE1184" s="34">
        <f t="shared" si="115"/>
        <v>0</v>
      </c>
      <c r="AF1184" s="34">
        <f t="shared" si="116"/>
        <v>0</v>
      </c>
      <c r="AG1184" s="34">
        <f t="shared" si="117"/>
        <v>0</v>
      </c>
      <c r="AH1184" s="34">
        <f t="shared" si="118"/>
        <v>0</v>
      </c>
      <c r="AI1184" s="46" t="s">
        <v>89</v>
      </c>
      <c r="AJ1184" s="34">
        <f t="shared" si="119"/>
        <v>0</v>
      </c>
      <c r="AK1184" s="34">
        <f t="shared" si="120"/>
        <v>0</v>
      </c>
      <c r="AL1184" s="34">
        <f t="shared" si="121"/>
        <v>0</v>
      </c>
      <c r="AN1184" s="34">
        <v>21</v>
      </c>
      <c r="AO1184" s="34">
        <f t="shared" si="122"/>
        <v>0</v>
      </c>
      <c r="AP1184" s="34">
        <f t="shared" si="123"/>
        <v>0</v>
      </c>
      <c r="AQ1184" s="65" t="s">
        <v>175</v>
      </c>
      <c r="AV1184" s="34">
        <f t="shared" si="124"/>
        <v>0</v>
      </c>
      <c r="AW1184" s="34">
        <f t="shared" si="125"/>
        <v>0</v>
      </c>
      <c r="AX1184" s="34">
        <f t="shared" si="126"/>
        <v>0</v>
      </c>
      <c r="AY1184" s="65" t="s">
        <v>2205</v>
      </c>
      <c r="AZ1184" s="65" t="s">
        <v>2132</v>
      </c>
      <c r="BA1184" s="46" t="s">
        <v>2133</v>
      </c>
      <c r="BC1184" s="34">
        <f t="shared" si="127"/>
        <v>0</v>
      </c>
      <c r="BD1184" s="34">
        <f t="shared" si="128"/>
        <v>0</v>
      </c>
      <c r="BE1184" s="34">
        <v>0</v>
      </c>
      <c r="BF1184" s="34">
        <f>1184</f>
        <v>1184</v>
      </c>
      <c r="BH1184" s="34">
        <f t="shared" si="129"/>
        <v>0</v>
      </c>
      <c r="BI1184" s="34">
        <f t="shared" si="130"/>
        <v>0</v>
      </c>
      <c r="BJ1184" s="34">
        <f t="shared" si="131"/>
        <v>0</v>
      </c>
      <c r="BK1184" s="34"/>
      <c r="BL1184" s="34">
        <v>735</v>
      </c>
      <c r="BW1184" s="34">
        <v>21</v>
      </c>
      <c r="BX1184" s="3" t="s">
        <v>2247</v>
      </c>
    </row>
    <row r="1185" spans="1:76" x14ac:dyDescent="0.25">
      <c r="A1185" s="1" t="s">
        <v>2248</v>
      </c>
      <c r="B1185" s="2" t="s">
        <v>89</v>
      </c>
      <c r="C1185" s="2" t="s">
        <v>2249</v>
      </c>
      <c r="D1185" s="86" t="s">
        <v>2250</v>
      </c>
      <c r="E1185" s="81"/>
      <c r="F1185" s="2" t="s">
        <v>178</v>
      </c>
      <c r="G1185" s="34">
        <v>0.17451</v>
      </c>
      <c r="H1185" s="64">
        <v>0</v>
      </c>
      <c r="I1185" s="34">
        <f t="shared" si="110"/>
        <v>0</v>
      </c>
      <c r="J1185" s="65" t="s">
        <v>4</v>
      </c>
      <c r="K1185" s="59"/>
      <c r="Z1185" s="34">
        <f t="shared" si="111"/>
        <v>0</v>
      </c>
      <c r="AB1185" s="34">
        <f t="shared" si="112"/>
        <v>0</v>
      </c>
      <c r="AC1185" s="34">
        <f t="shared" si="113"/>
        <v>0</v>
      </c>
      <c r="AD1185" s="34">
        <f t="shared" si="114"/>
        <v>0</v>
      </c>
      <c r="AE1185" s="34">
        <f t="shared" si="115"/>
        <v>0</v>
      </c>
      <c r="AF1185" s="34">
        <f t="shared" si="116"/>
        <v>0</v>
      </c>
      <c r="AG1185" s="34">
        <f t="shared" si="117"/>
        <v>0</v>
      </c>
      <c r="AH1185" s="34">
        <f t="shared" si="118"/>
        <v>0</v>
      </c>
      <c r="AI1185" s="46" t="s">
        <v>89</v>
      </c>
      <c r="AJ1185" s="34">
        <f t="shared" si="119"/>
        <v>0</v>
      </c>
      <c r="AK1185" s="34">
        <f t="shared" si="120"/>
        <v>0</v>
      </c>
      <c r="AL1185" s="34">
        <f t="shared" si="121"/>
        <v>0</v>
      </c>
      <c r="AN1185" s="34">
        <v>21</v>
      </c>
      <c r="AO1185" s="34">
        <f t="shared" si="122"/>
        <v>0</v>
      </c>
      <c r="AP1185" s="34">
        <f t="shared" si="123"/>
        <v>0</v>
      </c>
      <c r="AQ1185" s="65" t="s">
        <v>175</v>
      </c>
      <c r="AV1185" s="34">
        <f t="shared" si="124"/>
        <v>0</v>
      </c>
      <c r="AW1185" s="34">
        <f t="shared" si="125"/>
        <v>0</v>
      </c>
      <c r="AX1185" s="34">
        <f t="shared" si="126"/>
        <v>0</v>
      </c>
      <c r="AY1185" s="65" t="s">
        <v>2205</v>
      </c>
      <c r="AZ1185" s="65" t="s">
        <v>2132</v>
      </c>
      <c r="BA1185" s="46" t="s">
        <v>2133</v>
      </c>
      <c r="BC1185" s="34">
        <f t="shared" si="127"/>
        <v>0</v>
      </c>
      <c r="BD1185" s="34">
        <f t="shared" si="128"/>
        <v>0</v>
      </c>
      <c r="BE1185" s="34">
        <v>0</v>
      </c>
      <c r="BF1185" s="34">
        <f>1185</f>
        <v>1185</v>
      </c>
      <c r="BH1185" s="34">
        <f t="shared" si="129"/>
        <v>0</v>
      </c>
      <c r="BI1185" s="34">
        <f t="shared" si="130"/>
        <v>0</v>
      </c>
      <c r="BJ1185" s="34">
        <f t="shared" si="131"/>
        <v>0</v>
      </c>
      <c r="BK1185" s="34"/>
      <c r="BL1185" s="34">
        <v>735</v>
      </c>
      <c r="BW1185" s="34">
        <v>21</v>
      </c>
      <c r="BX1185" s="3" t="s">
        <v>2250</v>
      </c>
    </row>
    <row r="1186" spans="1:76" x14ac:dyDescent="0.25">
      <c r="A1186" s="1" t="s">
        <v>2251</v>
      </c>
      <c r="B1186" s="2" t="s">
        <v>89</v>
      </c>
      <c r="C1186" s="2" t="s">
        <v>2252</v>
      </c>
      <c r="D1186" s="86" t="s">
        <v>2253</v>
      </c>
      <c r="E1186" s="81"/>
      <c r="F1186" s="2" t="s">
        <v>178</v>
      </c>
      <c r="G1186" s="34">
        <v>0.24601000000000001</v>
      </c>
      <c r="H1186" s="64">
        <v>0</v>
      </c>
      <c r="I1186" s="34">
        <f t="shared" si="110"/>
        <v>0</v>
      </c>
      <c r="J1186" s="65" t="s">
        <v>4</v>
      </c>
      <c r="K1186" s="59"/>
      <c r="Z1186" s="34">
        <f t="shared" si="111"/>
        <v>0</v>
      </c>
      <c r="AB1186" s="34">
        <f t="shared" si="112"/>
        <v>0</v>
      </c>
      <c r="AC1186" s="34">
        <f t="shared" si="113"/>
        <v>0</v>
      </c>
      <c r="AD1186" s="34">
        <f t="shared" si="114"/>
        <v>0</v>
      </c>
      <c r="AE1186" s="34">
        <f t="shared" si="115"/>
        <v>0</v>
      </c>
      <c r="AF1186" s="34">
        <f t="shared" si="116"/>
        <v>0</v>
      </c>
      <c r="AG1186" s="34">
        <f t="shared" si="117"/>
        <v>0</v>
      </c>
      <c r="AH1186" s="34">
        <f t="shared" si="118"/>
        <v>0</v>
      </c>
      <c r="AI1186" s="46" t="s">
        <v>89</v>
      </c>
      <c r="AJ1186" s="34">
        <f t="shared" si="119"/>
        <v>0</v>
      </c>
      <c r="AK1186" s="34">
        <f t="shared" si="120"/>
        <v>0</v>
      </c>
      <c r="AL1186" s="34">
        <f t="shared" si="121"/>
        <v>0</v>
      </c>
      <c r="AN1186" s="34">
        <v>21</v>
      </c>
      <c r="AO1186" s="34">
        <f t="shared" si="122"/>
        <v>0</v>
      </c>
      <c r="AP1186" s="34">
        <f t="shared" si="123"/>
        <v>0</v>
      </c>
      <c r="AQ1186" s="65" t="s">
        <v>175</v>
      </c>
      <c r="AV1186" s="34">
        <f t="shared" si="124"/>
        <v>0</v>
      </c>
      <c r="AW1186" s="34">
        <f t="shared" si="125"/>
        <v>0</v>
      </c>
      <c r="AX1186" s="34">
        <f t="shared" si="126"/>
        <v>0</v>
      </c>
      <c r="AY1186" s="65" t="s">
        <v>2205</v>
      </c>
      <c r="AZ1186" s="65" t="s">
        <v>2132</v>
      </c>
      <c r="BA1186" s="46" t="s">
        <v>2133</v>
      </c>
      <c r="BC1186" s="34">
        <f t="shared" si="127"/>
        <v>0</v>
      </c>
      <c r="BD1186" s="34">
        <f t="shared" si="128"/>
        <v>0</v>
      </c>
      <c r="BE1186" s="34">
        <v>0</v>
      </c>
      <c r="BF1186" s="34">
        <f>1186</f>
        <v>1186</v>
      </c>
      <c r="BH1186" s="34">
        <f t="shared" si="129"/>
        <v>0</v>
      </c>
      <c r="BI1186" s="34">
        <f t="shared" si="130"/>
        <v>0</v>
      </c>
      <c r="BJ1186" s="34">
        <f t="shared" si="131"/>
        <v>0</v>
      </c>
      <c r="BK1186" s="34"/>
      <c r="BL1186" s="34">
        <v>735</v>
      </c>
      <c r="BW1186" s="34">
        <v>21</v>
      </c>
      <c r="BX1186" s="3" t="s">
        <v>2253</v>
      </c>
    </row>
    <row r="1187" spans="1:76" x14ac:dyDescent="0.25">
      <c r="A1187" s="60" t="s">
        <v>4</v>
      </c>
      <c r="B1187" s="61" t="s">
        <v>91</v>
      </c>
      <c r="C1187" s="61" t="s">
        <v>4</v>
      </c>
      <c r="D1187" s="167" t="s">
        <v>92</v>
      </c>
      <c r="E1187" s="168"/>
      <c r="F1187" s="62" t="s">
        <v>79</v>
      </c>
      <c r="G1187" s="62" t="s">
        <v>79</v>
      </c>
      <c r="H1187" s="63" t="s">
        <v>79</v>
      </c>
      <c r="I1187" s="39">
        <f>I1188+I1209+I1302+I1346</f>
        <v>0</v>
      </c>
      <c r="J1187" s="46" t="s">
        <v>4</v>
      </c>
      <c r="K1187" s="59"/>
    </row>
    <row r="1188" spans="1:76" x14ac:dyDescent="0.25">
      <c r="A1188" s="60" t="s">
        <v>4</v>
      </c>
      <c r="B1188" s="61" t="s">
        <v>91</v>
      </c>
      <c r="C1188" s="61" t="s">
        <v>825</v>
      </c>
      <c r="D1188" s="167" t="s">
        <v>1783</v>
      </c>
      <c r="E1188" s="168"/>
      <c r="F1188" s="62" t="s">
        <v>79</v>
      </c>
      <c r="G1188" s="62" t="s">
        <v>79</v>
      </c>
      <c r="H1188" s="63" t="s">
        <v>79</v>
      </c>
      <c r="I1188" s="39">
        <f>SUM(I1189:I1207)</f>
        <v>0</v>
      </c>
      <c r="J1188" s="46" t="s">
        <v>4</v>
      </c>
      <c r="K1188" s="59"/>
      <c r="AI1188" s="46" t="s">
        <v>91</v>
      </c>
      <c r="AS1188" s="39">
        <f>SUM(AJ1189:AJ1207)</f>
        <v>0</v>
      </c>
      <c r="AT1188" s="39">
        <f>SUM(AK1189:AK1207)</f>
        <v>0</v>
      </c>
      <c r="AU1188" s="39">
        <f>SUM(AL1189:AL1207)</f>
        <v>0</v>
      </c>
    </row>
    <row r="1189" spans="1:76" x14ac:dyDescent="0.25">
      <c r="A1189" s="1" t="s">
        <v>2254</v>
      </c>
      <c r="B1189" s="2" t="s">
        <v>91</v>
      </c>
      <c r="C1189" s="2" t="s">
        <v>2255</v>
      </c>
      <c r="D1189" s="86" t="s">
        <v>2256</v>
      </c>
      <c r="E1189" s="81"/>
      <c r="F1189" s="2" t="s">
        <v>239</v>
      </c>
      <c r="G1189" s="34">
        <v>150</v>
      </c>
      <c r="H1189" s="64">
        <v>0</v>
      </c>
      <c r="I1189" s="34">
        <f>ROUND(G1189*H1189,2)</f>
        <v>0</v>
      </c>
      <c r="J1189" s="65" t="s">
        <v>133</v>
      </c>
      <c r="K1189" s="59"/>
      <c r="Z1189" s="34">
        <f>ROUND(IF(AQ1189="5",BJ1189,0),2)</f>
        <v>0</v>
      </c>
      <c r="AB1189" s="34">
        <f>ROUND(IF(AQ1189="1",BH1189,0),2)</f>
        <v>0</v>
      </c>
      <c r="AC1189" s="34">
        <f>ROUND(IF(AQ1189="1",BI1189,0),2)</f>
        <v>0</v>
      </c>
      <c r="AD1189" s="34">
        <f>ROUND(IF(AQ1189="7",BH1189,0),2)</f>
        <v>0</v>
      </c>
      <c r="AE1189" s="34">
        <f>ROUND(IF(AQ1189="7",BI1189,0),2)</f>
        <v>0</v>
      </c>
      <c r="AF1189" s="34">
        <f>ROUND(IF(AQ1189="2",BH1189,0),2)</f>
        <v>0</v>
      </c>
      <c r="AG1189" s="34">
        <f>ROUND(IF(AQ1189="2",BI1189,0),2)</f>
        <v>0</v>
      </c>
      <c r="AH1189" s="34">
        <f>ROUND(IF(AQ1189="0",BJ1189,0),2)</f>
        <v>0</v>
      </c>
      <c r="AI1189" s="46" t="s">
        <v>91</v>
      </c>
      <c r="AJ1189" s="34">
        <f>IF(AN1189=0,I1189,0)</f>
        <v>0</v>
      </c>
      <c r="AK1189" s="34">
        <f>IF(AN1189=12,I1189,0)</f>
        <v>0</v>
      </c>
      <c r="AL1189" s="34">
        <f>IF(AN1189=21,I1189,0)</f>
        <v>0</v>
      </c>
      <c r="AN1189" s="34">
        <v>21</v>
      </c>
      <c r="AO1189" s="34">
        <f>H1189*0.131362196</f>
        <v>0</v>
      </c>
      <c r="AP1189" s="34">
        <f>H1189*(1-0.131362196)</f>
        <v>0</v>
      </c>
      <c r="AQ1189" s="65" t="s">
        <v>129</v>
      </c>
      <c r="AV1189" s="34">
        <f>ROUND(AW1189+AX1189,2)</f>
        <v>0</v>
      </c>
      <c r="AW1189" s="34">
        <f>ROUND(G1189*AO1189,2)</f>
        <v>0</v>
      </c>
      <c r="AX1189" s="34">
        <f>ROUND(G1189*AP1189,2)</f>
        <v>0</v>
      </c>
      <c r="AY1189" s="65" t="s">
        <v>1787</v>
      </c>
      <c r="AZ1189" s="65" t="s">
        <v>2257</v>
      </c>
      <c r="BA1189" s="46" t="s">
        <v>2258</v>
      </c>
      <c r="BC1189" s="34">
        <f>AW1189+AX1189</f>
        <v>0</v>
      </c>
      <c r="BD1189" s="34">
        <f>H1189/(100-BE1189)*100</f>
        <v>0</v>
      </c>
      <c r="BE1189" s="34">
        <v>0</v>
      </c>
      <c r="BF1189" s="34">
        <f>1189</f>
        <v>1189</v>
      </c>
      <c r="BH1189" s="34">
        <f>G1189*AO1189</f>
        <v>0</v>
      </c>
      <c r="BI1189" s="34">
        <f>G1189*AP1189</f>
        <v>0</v>
      </c>
      <c r="BJ1189" s="34">
        <f>G1189*H1189</f>
        <v>0</v>
      </c>
      <c r="BK1189" s="34"/>
      <c r="BL1189" s="34">
        <v>97</v>
      </c>
      <c r="BW1189" s="34">
        <v>21</v>
      </c>
      <c r="BX1189" s="3" t="s">
        <v>2256</v>
      </c>
    </row>
    <row r="1190" spans="1:76" x14ac:dyDescent="0.25">
      <c r="A1190" s="66"/>
      <c r="D1190" s="67" t="s">
        <v>1094</v>
      </c>
      <c r="E1190" s="67" t="s">
        <v>4</v>
      </c>
      <c r="G1190" s="68">
        <v>150</v>
      </c>
      <c r="K1190" s="59"/>
    </row>
    <row r="1191" spans="1:76" x14ac:dyDescent="0.25">
      <c r="A1191" s="1" t="s">
        <v>2259</v>
      </c>
      <c r="B1191" s="2" t="s">
        <v>91</v>
      </c>
      <c r="C1191" s="2" t="s">
        <v>2260</v>
      </c>
      <c r="D1191" s="86" t="s">
        <v>2261</v>
      </c>
      <c r="E1191" s="81"/>
      <c r="F1191" s="2" t="s">
        <v>239</v>
      </c>
      <c r="G1191" s="34">
        <v>580</v>
      </c>
      <c r="H1191" s="64">
        <v>0</v>
      </c>
      <c r="I1191" s="34">
        <f>ROUND(G1191*H1191,2)</f>
        <v>0</v>
      </c>
      <c r="J1191" s="65" t="s">
        <v>133</v>
      </c>
      <c r="K1191" s="59"/>
      <c r="Z1191" s="34">
        <f>ROUND(IF(AQ1191="5",BJ1191,0),2)</f>
        <v>0</v>
      </c>
      <c r="AB1191" s="34">
        <f>ROUND(IF(AQ1191="1",BH1191,0),2)</f>
        <v>0</v>
      </c>
      <c r="AC1191" s="34">
        <f>ROUND(IF(AQ1191="1",BI1191,0),2)</f>
        <v>0</v>
      </c>
      <c r="AD1191" s="34">
        <f>ROUND(IF(AQ1191="7",BH1191,0),2)</f>
        <v>0</v>
      </c>
      <c r="AE1191" s="34">
        <f>ROUND(IF(AQ1191="7",BI1191,0),2)</f>
        <v>0</v>
      </c>
      <c r="AF1191" s="34">
        <f>ROUND(IF(AQ1191="2",BH1191,0),2)</f>
        <v>0</v>
      </c>
      <c r="AG1191" s="34">
        <f>ROUND(IF(AQ1191="2",BI1191,0),2)</f>
        <v>0</v>
      </c>
      <c r="AH1191" s="34">
        <f>ROUND(IF(AQ1191="0",BJ1191,0),2)</f>
        <v>0</v>
      </c>
      <c r="AI1191" s="46" t="s">
        <v>91</v>
      </c>
      <c r="AJ1191" s="34">
        <f>IF(AN1191=0,I1191,0)</f>
        <v>0</v>
      </c>
      <c r="AK1191" s="34">
        <f>IF(AN1191=12,I1191,0)</f>
        <v>0</v>
      </c>
      <c r="AL1191" s="34">
        <f>IF(AN1191=21,I1191,0)</f>
        <v>0</v>
      </c>
      <c r="AN1191" s="34">
        <v>21</v>
      </c>
      <c r="AO1191" s="34">
        <f>H1191*0.150423216</f>
        <v>0</v>
      </c>
      <c r="AP1191" s="34">
        <f>H1191*(1-0.150423216)</f>
        <v>0</v>
      </c>
      <c r="AQ1191" s="65" t="s">
        <v>129</v>
      </c>
      <c r="AV1191" s="34">
        <f>ROUND(AW1191+AX1191,2)</f>
        <v>0</v>
      </c>
      <c r="AW1191" s="34">
        <f>ROUND(G1191*AO1191,2)</f>
        <v>0</v>
      </c>
      <c r="AX1191" s="34">
        <f>ROUND(G1191*AP1191,2)</f>
        <v>0</v>
      </c>
      <c r="AY1191" s="65" t="s">
        <v>1787</v>
      </c>
      <c r="AZ1191" s="65" t="s">
        <v>2257</v>
      </c>
      <c r="BA1191" s="46" t="s">
        <v>2258</v>
      </c>
      <c r="BC1191" s="34">
        <f>AW1191+AX1191</f>
        <v>0</v>
      </c>
      <c r="BD1191" s="34">
        <f>H1191/(100-BE1191)*100</f>
        <v>0</v>
      </c>
      <c r="BE1191" s="34">
        <v>0</v>
      </c>
      <c r="BF1191" s="34">
        <f>1191</f>
        <v>1191</v>
      </c>
      <c r="BH1191" s="34">
        <f>G1191*AO1191</f>
        <v>0</v>
      </c>
      <c r="BI1191" s="34">
        <f>G1191*AP1191</f>
        <v>0</v>
      </c>
      <c r="BJ1191" s="34">
        <f>G1191*H1191</f>
        <v>0</v>
      </c>
      <c r="BK1191" s="34"/>
      <c r="BL1191" s="34">
        <v>97</v>
      </c>
      <c r="BW1191" s="34">
        <v>21</v>
      </c>
      <c r="BX1191" s="3" t="s">
        <v>2261</v>
      </c>
    </row>
    <row r="1192" spans="1:76" x14ac:dyDescent="0.25">
      <c r="A1192" s="66"/>
      <c r="D1192" s="67" t="s">
        <v>2262</v>
      </c>
      <c r="E1192" s="67" t="s">
        <v>4</v>
      </c>
      <c r="G1192" s="68">
        <v>580</v>
      </c>
      <c r="K1192" s="59"/>
    </row>
    <row r="1193" spans="1:76" x14ac:dyDescent="0.25">
      <c r="A1193" s="1" t="s">
        <v>2263</v>
      </c>
      <c r="B1193" s="2" t="s">
        <v>91</v>
      </c>
      <c r="C1193" s="2" t="s">
        <v>2264</v>
      </c>
      <c r="D1193" s="86" t="s">
        <v>2265</v>
      </c>
      <c r="E1193" s="81"/>
      <c r="F1193" s="2" t="s">
        <v>239</v>
      </c>
      <c r="G1193" s="34">
        <v>112</v>
      </c>
      <c r="H1193" s="64">
        <v>0</v>
      </c>
      <c r="I1193" s="34">
        <f>ROUND(G1193*H1193,2)</f>
        <v>0</v>
      </c>
      <c r="J1193" s="65" t="s">
        <v>133</v>
      </c>
      <c r="K1193" s="59"/>
      <c r="Z1193" s="34">
        <f>ROUND(IF(AQ1193="5",BJ1193,0),2)</f>
        <v>0</v>
      </c>
      <c r="AB1193" s="34">
        <f>ROUND(IF(AQ1193="1",BH1193,0),2)</f>
        <v>0</v>
      </c>
      <c r="AC1193" s="34">
        <f>ROUND(IF(AQ1193="1",BI1193,0),2)</f>
        <v>0</v>
      </c>
      <c r="AD1193" s="34">
        <f>ROUND(IF(AQ1193="7",BH1193,0),2)</f>
        <v>0</v>
      </c>
      <c r="AE1193" s="34">
        <f>ROUND(IF(AQ1193="7",BI1193,0),2)</f>
        <v>0</v>
      </c>
      <c r="AF1193" s="34">
        <f>ROUND(IF(AQ1193="2",BH1193,0),2)</f>
        <v>0</v>
      </c>
      <c r="AG1193" s="34">
        <f>ROUND(IF(AQ1193="2",BI1193,0),2)</f>
        <v>0</v>
      </c>
      <c r="AH1193" s="34">
        <f>ROUND(IF(AQ1193="0",BJ1193,0),2)</f>
        <v>0</v>
      </c>
      <c r="AI1193" s="46" t="s">
        <v>91</v>
      </c>
      <c r="AJ1193" s="34">
        <f>IF(AN1193=0,I1193,0)</f>
        <v>0</v>
      </c>
      <c r="AK1193" s="34">
        <f>IF(AN1193=12,I1193,0)</f>
        <v>0</v>
      </c>
      <c r="AL1193" s="34">
        <f>IF(AN1193=21,I1193,0)</f>
        <v>0</v>
      </c>
      <c r="AN1193" s="34">
        <v>21</v>
      </c>
      <c r="AO1193" s="34">
        <f>H1193*0.126294416</f>
        <v>0</v>
      </c>
      <c r="AP1193" s="34">
        <f>H1193*(1-0.126294416)</f>
        <v>0</v>
      </c>
      <c r="AQ1193" s="65" t="s">
        <v>129</v>
      </c>
      <c r="AV1193" s="34">
        <f>ROUND(AW1193+AX1193,2)</f>
        <v>0</v>
      </c>
      <c r="AW1193" s="34">
        <f>ROUND(G1193*AO1193,2)</f>
        <v>0</v>
      </c>
      <c r="AX1193" s="34">
        <f>ROUND(G1193*AP1193,2)</f>
        <v>0</v>
      </c>
      <c r="AY1193" s="65" t="s">
        <v>1787</v>
      </c>
      <c r="AZ1193" s="65" t="s">
        <v>2257</v>
      </c>
      <c r="BA1193" s="46" t="s">
        <v>2258</v>
      </c>
      <c r="BC1193" s="34">
        <f>AW1193+AX1193</f>
        <v>0</v>
      </c>
      <c r="BD1193" s="34">
        <f>H1193/(100-BE1193)*100</f>
        <v>0</v>
      </c>
      <c r="BE1193" s="34">
        <v>0</v>
      </c>
      <c r="BF1193" s="34">
        <f>1193</f>
        <v>1193</v>
      </c>
      <c r="BH1193" s="34">
        <f>G1193*AO1193</f>
        <v>0</v>
      </c>
      <c r="BI1193" s="34">
        <f>G1193*AP1193</f>
        <v>0</v>
      </c>
      <c r="BJ1193" s="34">
        <f>G1193*H1193</f>
        <v>0</v>
      </c>
      <c r="BK1193" s="34"/>
      <c r="BL1193" s="34">
        <v>97</v>
      </c>
      <c r="BW1193" s="34">
        <v>21</v>
      </c>
      <c r="BX1193" s="3" t="s">
        <v>2265</v>
      </c>
    </row>
    <row r="1194" spans="1:76" x14ac:dyDescent="0.25">
      <c r="A1194" s="66"/>
      <c r="D1194" s="67" t="s">
        <v>913</v>
      </c>
      <c r="E1194" s="67" t="s">
        <v>4</v>
      </c>
      <c r="G1194" s="68">
        <v>112</v>
      </c>
      <c r="K1194" s="59"/>
    </row>
    <row r="1195" spans="1:76" ht="25.5" x14ac:dyDescent="0.25">
      <c r="A1195" s="1" t="s">
        <v>2266</v>
      </c>
      <c r="B1195" s="2" t="s">
        <v>91</v>
      </c>
      <c r="C1195" s="2" t="s">
        <v>2267</v>
      </c>
      <c r="D1195" s="86" t="s">
        <v>2268</v>
      </c>
      <c r="E1195" s="81"/>
      <c r="F1195" s="2" t="s">
        <v>2269</v>
      </c>
      <c r="G1195" s="34">
        <v>1</v>
      </c>
      <c r="H1195" s="64">
        <v>0</v>
      </c>
      <c r="I1195" s="34">
        <f>ROUND(G1195*H1195,2)</f>
        <v>0</v>
      </c>
      <c r="J1195" s="65" t="s">
        <v>133</v>
      </c>
      <c r="K1195" s="59"/>
      <c r="Z1195" s="34">
        <f>ROUND(IF(AQ1195="5",BJ1195,0),2)</f>
        <v>0</v>
      </c>
      <c r="AB1195" s="34">
        <f>ROUND(IF(AQ1195="1",BH1195,0),2)</f>
        <v>0</v>
      </c>
      <c r="AC1195" s="34">
        <f>ROUND(IF(AQ1195="1",BI1195,0),2)</f>
        <v>0</v>
      </c>
      <c r="AD1195" s="34">
        <f>ROUND(IF(AQ1195="7",BH1195,0),2)</f>
        <v>0</v>
      </c>
      <c r="AE1195" s="34">
        <f>ROUND(IF(AQ1195="7",BI1195,0),2)</f>
        <v>0</v>
      </c>
      <c r="AF1195" s="34">
        <f>ROUND(IF(AQ1195="2",BH1195,0),2)</f>
        <v>0</v>
      </c>
      <c r="AG1195" s="34">
        <f>ROUND(IF(AQ1195="2",BI1195,0),2)</f>
        <v>0</v>
      </c>
      <c r="AH1195" s="34">
        <f>ROUND(IF(AQ1195="0",BJ1195,0),2)</f>
        <v>0</v>
      </c>
      <c r="AI1195" s="46" t="s">
        <v>91</v>
      </c>
      <c r="AJ1195" s="34">
        <f>IF(AN1195=0,I1195,0)</f>
        <v>0</v>
      </c>
      <c r="AK1195" s="34">
        <f>IF(AN1195=12,I1195,0)</f>
        <v>0</v>
      </c>
      <c r="AL1195" s="34">
        <f>IF(AN1195=21,I1195,0)</f>
        <v>0</v>
      </c>
      <c r="AN1195" s="34">
        <v>21</v>
      </c>
      <c r="AO1195" s="34">
        <f>H1195*1</f>
        <v>0</v>
      </c>
      <c r="AP1195" s="34">
        <f>H1195*(1-1)</f>
        <v>0</v>
      </c>
      <c r="AQ1195" s="65" t="s">
        <v>129</v>
      </c>
      <c r="AV1195" s="34">
        <f>ROUND(AW1195+AX1195,2)</f>
        <v>0</v>
      </c>
      <c r="AW1195" s="34">
        <f>ROUND(G1195*AO1195,2)</f>
        <v>0</v>
      </c>
      <c r="AX1195" s="34">
        <f>ROUND(G1195*AP1195,2)</f>
        <v>0</v>
      </c>
      <c r="AY1195" s="65" t="s">
        <v>1787</v>
      </c>
      <c r="AZ1195" s="65" t="s">
        <v>2257</v>
      </c>
      <c r="BA1195" s="46" t="s">
        <v>2258</v>
      </c>
      <c r="BC1195" s="34">
        <f>AW1195+AX1195</f>
        <v>0</v>
      </c>
      <c r="BD1195" s="34">
        <f>H1195/(100-BE1195)*100</f>
        <v>0</v>
      </c>
      <c r="BE1195" s="34">
        <v>0</v>
      </c>
      <c r="BF1195" s="34">
        <f>1195</f>
        <v>1195</v>
      </c>
      <c r="BH1195" s="34">
        <f>G1195*AO1195</f>
        <v>0</v>
      </c>
      <c r="BI1195" s="34">
        <f>G1195*AP1195</f>
        <v>0</v>
      </c>
      <c r="BJ1195" s="34">
        <f>G1195*H1195</f>
        <v>0</v>
      </c>
      <c r="BK1195" s="34"/>
      <c r="BL1195" s="34">
        <v>97</v>
      </c>
      <c r="BW1195" s="34">
        <v>21</v>
      </c>
      <c r="BX1195" s="3" t="s">
        <v>2268</v>
      </c>
    </row>
    <row r="1196" spans="1:76" x14ac:dyDescent="0.25">
      <c r="A1196" s="66"/>
      <c r="D1196" s="67" t="s">
        <v>129</v>
      </c>
      <c r="E1196" s="67" t="s">
        <v>4</v>
      </c>
      <c r="G1196" s="68">
        <v>1</v>
      </c>
      <c r="K1196" s="59"/>
    </row>
    <row r="1197" spans="1:76" ht="25.5" x14ac:dyDescent="0.25">
      <c r="A1197" s="1" t="s">
        <v>2270</v>
      </c>
      <c r="B1197" s="2" t="s">
        <v>91</v>
      </c>
      <c r="C1197" s="2" t="s">
        <v>2271</v>
      </c>
      <c r="D1197" s="86" t="s">
        <v>2272</v>
      </c>
      <c r="E1197" s="81"/>
      <c r="F1197" s="2" t="s">
        <v>2269</v>
      </c>
      <c r="G1197" s="34">
        <v>1</v>
      </c>
      <c r="H1197" s="64">
        <v>0</v>
      </c>
      <c r="I1197" s="34">
        <f>ROUND(G1197*H1197,2)</f>
        <v>0</v>
      </c>
      <c r="J1197" s="65" t="s">
        <v>133</v>
      </c>
      <c r="K1197" s="59"/>
      <c r="Z1197" s="34">
        <f>ROUND(IF(AQ1197="5",BJ1197,0),2)</f>
        <v>0</v>
      </c>
      <c r="AB1197" s="34">
        <f>ROUND(IF(AQ1197="1",BH1197,0),2)</f>
        <v>0</v>
      </c>
      <c r="AC1197" s="34">
        <f>ROUND(IF(AQ1197="1",BI1197,0),2)</f>
        <v>0</v>
      </c>
      <c r="AD1197" s="34">
        <f>ROUND(IF(AQ1197="7",BH1197,0),2)</f>
        <v>0</v>
      </c>
      <c r="AE1197" s="34">
        <f>ROUND(IF(AQ1197="7",BI1197,0),2)</f>
        <v>0</v>
      </c>
      <c r="AF1197" s="34">
        <f>ROUND(IF(AQ1197="2",BH1197,0),2)</f>
        <v>0</v>
      </c>
      <c r="AG1197" s="34">
        <f>ROUND(IF(AQ1197="2",BI1197,0),2)</f>
        <v>0</v>
      </c>
      <c r="AH1197" s="34">
        <f>ROUND(IF(AQ1197="0",BJ1197,0),2)</f>
        <v>0</v>
      </c>
      <c r="AI1197" s="46" t="s">
        <v>91</v>
      </c>
      <c r="AJ1197" s="34">
        <f>IF(AN1197=0,I1197,0)</f>
        <v>0</v>
      </c>
      <c r="AK1197" s="34">
        <f>IF(AN1197=12,I1197,0)</f>
        <v>0</v>
      </c>
      <c r="AL1197" s="34">
        <f>IF(AN1197=21,I1197,0)</f>
        <v>0</v>
      </c>
      <c r="AN1197" s="34">
        <v>21</v>
      </c>
      <c r="AO1197" s="34">
        <f>H1197*1</f>
        <v>0</v>
      </c>
      <c r="AP1197" s="34">
        <f>H1197*(1-1)</f>
        <v>0</v>
      </c>
      <c r="AQ1197" s="65" t="s">
        <v>129</v>
      </c>
      <c r="AV1197" s="34">
        <f>ROUND(AW1197+AX1197,2)</f>
        <v>0</v>
      </c>
      <c r="AW1197" s="34">
        <f>ROUND(G1197*AO1197,2)</f>
        <v>0</v>
      </c>
      <c r="AX1197" s="34">
        <f>ROUND(G1197*AP1197,2)</f>
        <v>0</v>
      </c>
      <c r="AY1197" s="65" t="s">
        <v>1787</v>
      </c>
      <c r="AZ1197" s="65" t="s">
        <v>2257</v>
      </c>
      <c r="BA1197" s="46" t="s">
        <v>2258</v>
      </c>
      <c r="BC1197" s="34">
        <f>AW1197+AX1197</f>
        <v>0</v>
      </c>
      <c r="BD1197" s="34">
        <f>H1197/(100-BE1197)*100</f>
        <v>0</v>
      </c>
      <c r="BE1197" s="34">
        <v>0</v>
      </c>
      <c r="BF1197" s="34">
        <f>1197</f>
        <v>1197</v>
      </c>
      <c r="BH1197" s="34">
        <f>G1197*AO1197</f>
        <v>0</v>
      </c>
      <c r="BI1197" s="34">
        <f>G1197*AP1197</f>
        <v>0</v>
      </c>
      <c r="BJ1197" s="34">
        <f>G1197*H1197</f>
        <v>0</v>
      </c>
      <c r="BK1197" s="34"/>
      <c r="BL1197" s="34">
        <v>97</v>
      </c>
      <c r="BW1197" s="34">
        <v>21</v>
      </c>
      <c r="BX1197" s="3" t="s">
        <v>2272</v>
      </c>
    </row>
    <row r="1198" spans="1:76" x14ac:dyDescent="0.25">
      <c r="A1198" s="66"/>
      <c r="D1198" s="67" t="s">
        <v>129</v>
      </c>
      <c r="E1198" s="67" t="s">
        <v>4</v>
      </c>
      <c r="G1198" s="68">
        <v>1</v>
      </c>
      <c r="K1198" s="59"/>
    </row>
    <row r="1199" spans="1:76" ht="25.5" x14ac:dyDescent="0.25">
      <c r="A1199" s="1" t="s">
        <v>2273</v>
      </c>
      <c r="B1199" s="2" t="s">
        <v>91</v>
      </c>
      <c r="C1199" s="2" t="s">
        <v>2274</v>
      </c>
      <c r="D1199" s="86" t="s">
        <v>2275</v>
      </c>
      <c r="E1199" s="81"/>
      <c r="F1199" s="2" t="s">
        <v>2269</v>
      </c>
      <c r="G1199" s="34">
        <v>1</v>
      </c>
      <c r="H1199" s="64">
        <v>0</v>
      </c>
      <c r="I1199" s="34">
        <f>ROUND(G1199*H1199,2)</f>
        <v>0</v>
      </c>
      <c r="J1199" s="65" t="s">
        <v>133</v>
      </c>
      <c r="K1199" s="59"/>
      <c r="Z1199" s="34">
        <f>ROUND(IF(AQ1199="5",BJ1199,0),2)</f>
        <v>0</v>
      </c>
      <c r="AB1199" s="34">
        <f>ROUND(IF(AQ1199="1",BH1199,0),2)</f>
        <v>0</v>
      </c>
      <c r="AC1199" s="34">
        <f>ROUND(IF(AQ1199="1",BI1199,0),2)</f>
        <v>0</v>
      </c>
      <c r="AD1199" s="34">
        <f>ROUND(IF(AQ1199="7",BH1199,0),2)</f>
        <v>0</v>
      </c>
      <c r="AE1199" s="34">
        <f>ROUND(IF(AQ1199="7",BI1199,0),2)</f>
        <v>0</v>
      </c>
      <c r="AF1199" s="34">
        <f>ROUND(IF(AQ1199="2",BH1199,0),2)</f>
        <v>0</v>
      </c>
      <c r="AG1199" s="34">
        <f>ROUND(IF(AQ1199="2",BI1199,0),2)</f>
        <v>0</v>
      </c>
      <c r="AH1199" s="34">
        <f>ROUND(IF(AQ1199="0",BJ1199,0),2)</f>
        <v>0</v>
      </c>
      <c r="AI1199" s="46" t="s">
        <v>91</v>
      </c>
      <c r="AJ1199" s="34">
        <f>IF(AN1199=0,I1199,0)</f>
        <v>0</v>
      </c>
      <c r="AK1199" s="34">
        <f>IF(AN1199=12,I1199,0)</f>
        <v>0</v>
      </c>
      <c r="AL1199" s="34">
        <f>IF(AN1199=21,I1199,0)</f>
        <v>0</v>
      </c>
      <c r="AN1199" s="34">
        <v>21</v>
      </c>
      <c r="AO1199" s="34">
        <f>H1199*1</f>
        <v>0</v>
      </c>
      <c r="AP1199" s="34">
        <f>H1199*(1-1)</f>
        <v>0</v>
      </c>
      <c r="AQ1199" s="65" t="s">
        <v>129</v>
      </c>
      <c r="AV1199" s="34">
        <f>ROUND(AW1199+AX1199,2)</f>
        <v>0</v>
      </c>
      <c r="AW1199" s="34">
        <f>ROUND(G1199*AO1199,2)</f>
        <v>0</v>
      </c>
      <c r="AX1199" s="34">
        <f>ROUND(G1199*AP1199,2)</f>
        <v>0</v>
      </c>
      <c r="AY1199" s="65" t="s">
        <v>1787</v>
      </c>
      <c r="AZ1199" s="65" t="s">
        <v>2257</v>
      </c>
      <c r="BA1199" s="46" t="s">
        <v>2258</v>
      </c>
      <c r="BC1199" s="34">
        <f>AW1199+AX1199</f>
        <v>0</v>
      </c>
      <c r="BD1199" s="34">
        <f>H1199/(100-BE1199)*100</f>
        <v>0</v>
      </c>
      <c r="BE1199" s="34">
        <v>0</v>
      </c>
      <c r="BF1199" s="34">
        <f>1199</f>
        <v>1199</v>
      </c>
      <c r="BH1199" s="34">
        <f>G1199*AO1199</f>
        <v>0</v>
      </c>
      <c r="BI1199" s="34">
        <f>G1199*AP1199</f>
        <v>0</v>
      </c>
      <c r="BJ1199" s="34">
        <f>G1199*H1199</f>
        <v>0</v>
      </c>
      <c r="BK1199" s="34"/>
      <c r="BL1199" s="34">
        <v>97</v>
      </c>
      <c r="BW1199" s="34">
        <v>21</v>
      </c>
      <c r="BX1199" s="3" t="s">
        <v>2275</v>
      </c>
    </row>
    <row r="1200" spans="1:76" x14ac:dyDescent="0.25">
      <c r="A1200" s="66"/>
      <c r="D1200" s="67" t="s">
        <v>129</v>
      </c>
      <c r="E1200" s="67" t="s">
        <v>2276</v>
      </c>
      <c r="G1200" s="68">
        <v>1</v>
      </c>
      <c r="K1200" s="59"/>
    </row>
    <row r="1201" spans="1:76" ht="25.5" x14ac:dyDescent="0.25">
      <c r="A1201" s="1" t="s">
        <v>2277</v>
      </c>
      <c r="B1201" s="2" t="s">
        <v>91</v>
      </c>
      <c r="C1201" s="2" t="s">
        <v>2278</v>
      </c>
      <c r="D1201" s="86" t="s">
        <v>2279</v>
      </c>
      <c r="E1201" s="81"/>
      <c r="F1201" s="2" t="s">
        <v>2269</v>
      </c>
      <c r="G1201" s="34">
        <v>1</v>
      </c>
      <c r="H1201" s="64">
        <v>0</v>
      </c>
      <c r="I1201" s="34">
        <f>ROUND(G1201*H1201,2)</f>
        <v>0</v>
      </c>
      <c r="J1201" s="65" t="s">
        <v>133</v>
      </c>
      <c r="K1201" s="59"/>
      <c r="Z1201" s="34">
        <f>ROUND(IF(AQ1201="5",BJ1201,0),2)</f>
        <v>0</v>
      </c>
      <c r="AB1201" s="34">
        <f>ROUND(IF(AQ1201="1",BH1201,0),2)</f>
        <v>0</v>
      </c>
      <c r="AC1201" s="34">
        <f>ROUND(IF(AQ1201="1",BI1201,0),2)</f>
        <v>0</v>
      </c>
      <c r="AD1201" s="34">
        <f>ROUND(IF(AQ1201="7",BH1201,0),2)</f>
        <v>0</v>
      </c>
      <c r="AE1201" s="34">
        <f>ROUND(IF(AQ1201="7",BI1201,0),2)</f>
        <v>0</v>
      </c>
      <c r="AF1201" s="34">
        <f>ROUND(IF(AQ1201="2",BH1201,0),2)</f>
        <v>0</v>
      </c>
      <c r="AG1201" s="34">
        <f>ROUND(IF(AQ1201="2",BI1201,0),2)</f>
        <v>0</v>
      </c>
      <c r="AH1201" s="34">
        <f>ROUND(IF(AQ1201="0",BJ1201,0),2)</f>
        <v>0</v>
      </c>
      <c r="AI1201" s="46" t="s">
        <v>91</v>
      </c>
      <c r="AJ1201" s="34">
        <f>IF(AN1201=0,I1201,0)</f>
        <v>0</v>
      </c>
      <c r="AK1201" s="34">
        <f>IF(AN1201=12,I1201,0)</f>
        <v>0</v>
      </c>
      <c r="AL1201" s="34">
        <f>IF(AN1201=21,I1201,0)</f>
        <v>0</v>
      </c>
      <c r="AN1201" s="34">
        <v>21</v>
      </c>
      <c r="AO1201" s="34">
        <f>H1201*1</f>
        <v>0</v>
      </c>
      <c r="AP1201" s="34">
        <f>H1201*(1-1)</f>
        <v>0</v>
      </c>
      <c r="AQ1201" s="65" t="s">
        <v>129</v>
      </c>
      <c r="AV1201" s="34">
        <f>ROUND(AW1201+AX1201,2)</f>
        <v>0</v>
      </c>
      <c r="AW1201" s="34">
        <f>ROUND(G1201*AO1201,2)</f>
        <v>0</v>
      </c>
      <c r="AX1201" s="34">
        <f>ROUND(G1201*AP1201,2)</f>
        <v>0</v>
      </c>
      <c r="AY1201" s="65" t="s">
        <v>1787</v>
      </c>
      <c r="AZ1201" s="65" t="s">
        <v>2257</v>
      </c>
      <c r="BA1201" s="46" t="s">
        <v>2258</v>
      </c>
      <c r="BC1201" s="34">
        <f>AW1201+AX1201</f>
        <v>0</v>
      </c>
      <c r="BD1201" s="34">
        <f>H1201/(100-BE1201)*100</f>
        <v>0</v>
      </c>
      <c r="BE1201" s="34">
        <v>0</v>
      </c>
      <c r="BF1201" s="34">
        <f>1201</f>
        <v>1201</v>
      </c>
      <c r="BH1201" s="34">
        <f>G1201*AO1201</f>
        <v>0</v>
      </c>
      <c r="BI1201" s="34">
        <f>G1201*AP1201</f>
        <v>0</v>
      </c>
      <c r="BJ1201" s="34">
        <f>G1201*H1201</f>
        <v>0</v>
      </c>
      <c r="BK1201" s="34"/>
      <c r="BL1201" s="34">
        <v>97</v>
      </c>
      <c r="BW1201" s="34">
        <v>21</v>
      </c>
      <c r="BX1201" s="3" t="s">
        <v>2279</v>
      </c>
    </row>
    <row r="1202" spans="1:76" x14ac:dyDescent="0.25">
      <c r="A1202" s="66"/>
      <c r="D1202" s="67" t="s">
        <v>129</v>
      </c>
      <c r="E1202" s="67" t="s">
        <v>4</v>
      </c>
      <c r="G1202" s="68">
        <v>1</v>
      </c>
      <c r="K1202" s="59"/>
    </row>
    <row r="1203" spans="1:76" ht="25.5" x14ac:dyDescent="0.25">
      <c r="A1203" s="1" t="s">
        <v>2280</v>
      </c>
      <c r="B1203" s="2" t="s">
        <v>91</v>
      </c>
      <c r="C1203" s="2" t="s">
        <v>2281</v>
      </c>
      <c r="D1203" s="86" t="s">
        <v>2282</v>
      </c>
      <c r="E1203" s="81"/>
      <c r="F1203" s="2" t="s">
        <v>2269</v>
      </c>
      <c r="G1203" s="34">
        <v>1</v>
      </c>
      <c r="H1203" s="64">
        <v>0</v>
      </c>
      <c r="I1203" s="34">
        <f>ROUND(G1203*H1203,2)</f>
        <v>0</v>
      </c>
      <c r="J1203" s="65" t="s">
        <v>133</v>
      </c>
      <c r="K1203" s="59"/>
      <c r="Z1203" s="34">
        <f>ROUND(IF(AQ1203="5",BJ1203,0),2)</f>
        <v>0</v>
      </c>
      <c r="AB1203" s="34">
        <f>ROUND(IF(AQ1203="1",BH1203,0),2)</f>
        <v>0</v>
      </c>
      <c r="AC1203" s="34">
        <f>ROUND(IF(AQ1203="1",BI1203,0),2)</f>
        <v>0</v>
      </c>
      <c r="AD1203" s="34">
        <f>ROUND(IF(AQ1203="7",BH1203,0),2)</f>
        <v>0</v>
      </c>
      <c r="AE1203" s="34">
        <f>ROUND(IF(AQ1203="7",BI1203,0),2)</f>
        <v>0</v>
      </c>
      <c r="AF1203" s="34">
        <f>ROUND(IF(AQ1203="2",BH1203,0),2)</f>
        <v>0</v>
      </c>
      <c r="AG1203" s="34">
        <f>ROUND(IF(AQ1203="2",BI1203,0),2)</f>
        <v>0</v>
      </c>
      <c r="AH1203" s="34">
        <f>ROUND(IF(AQ1203="0",BJ1203,0),2)</f>
        <v>0</v>
      </c>
      <c r="AI1203" s="46" t="s">
        <v>91</v>
      </c>
      <c r="AJ1203" s="34">
        <f>IF(AN1203=0,I1203,0)</f>
        <v>0</v>
      </c>
      <c r="AK1203" s="34">
        <f>IF(AN1203=12,I1203,0)</f>
        <v>0</v>
      </c>
      <c r="AL1203" s="34">
        <f>IF(AN1203=21,I1203,0)</f>
        <v>0</v>
      </c>
      <c r="AN1203" s="34">
        <v>21</v>
      </c>
      <c r="AO1203" s="34">
        <f>H1203*1</f>
        <v>0</v>
      </c>
      <c r="AP1203" s="34">
        <f>H1203*(1-1)</f>
        <v>0</v>
      </c>
      <c r="AQ1203" s="65" t="s">
        <v>129</v>
      </c>
      <c r="AV1203" s="34">
        <f>ROUND(AW1203+AX1203,2)</f>
        <v>0</v>
      </c>
      <c r="AW1203" s="34">
        <f>ROUND(G1203*AO1203,2)</f>
        <v>0</v>
      </c>
      <c r="AX1203" s="34">
        <f>ROUND(G1203*AP1203,2)</f>
        <v>0</v>
      </c>
      <c r="AY1203" s="65" t="s">
        <v>1787</v>
      </c>
      <c r="AZ1203" s="65" t="s">
        <v>2257</v>
      </c>
      <c r="BA1203" s="46" t="s">
        <v>2258</v>
      </c>
      <c r="BC1203" s="34">
        <f>AW1203+AX1203</f>
        <v>0</v>
      </c>
      <c r="BD1203" s="34">
        <f>H1203/(100-BE1203)*100</f>
        <v>0</v>
      </c>
      <c r="BE1203" s="34">
        <v>0</v>
      </c>
      <c r="BF1203" s="34">
        <f>1203</f>
        <v>1203</v>
      </c>
      <c r="BH1203" s="34">
        <f>G1203*AO1203</f>
        <v>0</v>
      </c>
      <c r="BI1203" s="34">
        <f>G1203*AP1203</f>
        <v>0</v>
      </c>
      <c r="BJ1203" s="34">
        <f>G1203*H1203</f>
        <v>0</v>
      </c>
      <c r="BK1203" s="34"/>
      <c r="BL1203" s="34">
        <v>97</v>
      </c>
      <c r="BW1203" s="34">
        <v>21</v>
      </c>
      <c r="BX1203" s="3" t="s">
        <v>2282</v>
      </c>
    </row>
    <row r="1204" spans="1:76" x14ac:dyDescent="0.25">
      <c r="A1204" s="66"/>
      <c r="D1204" s="67" t="s">
        <v>129</v>
      </c>
      <c r="E1204" s="67" t="s">
        <v>4</v>
      </c>
      <c r="G1204" s="68">
        <v>1</v>
      </c>
      <c r="K1204" s="59"/>
    </row>
    <row r="1205" spans="1:76" ht="25.5" x14ac:dyDescent="0.25">
      <c r="A1205" s="1" t="s">
        <v>2283</v>
      </c>
      <c r="B1205" s="2" t="s">
        <v>91</v>
      </c>
      <c r="C1205" s="2" t="s">
        <v>2284</v>
      </c>
      <c r="D1205" s="86" t="s">
        <v>2285</v>
      </c>
      <c r="E1205" s="81"/>
      <c r="F1205" s="2" t="s">
        <v>2269</v>
      </c>
      <c r="G1205" s="34">
        <v>1</v>
      </c>
      <c r="H1205" s="64">
        <v>0</v>
      </c>
      <c r="I1205" s="34">
        <f>ROUND(G1205*H1205,2)</f>
        <v>0</v>
      </c>
      <c r="J1205" s="65" t="s">
        <v>133</v>
      </c>
      <c r="K1205" s="59"/>
      <c r="Z1205" s="34">
        <f>ROUND(IF(AQ1205="5",BJ1205,0),2)</f>
        <v>0</v>
      </c>
      <c r="AB1205" s="34">
        <f>ROUND(IF(AQ1205="1",BH1205,0),2)</f>
        <v>0</v>
      </c>
      <c r="AC1205" s="34">
        <f>ROUND(IF(AQ1205="1",BI1205,0),2)</f>
        <v>0</v>
      </c>
      <c r="AD1205" s="34">
        <f>ROUND(IF(AQ1205="7",BH1205,0),2)</f>
        <v>0</v>
      </c>
      <c r="AE1205" s="34">
        <f>ROUND(IF(AQ1205="7",BI1205,0),2)</f>
        <v>0</v>
      </c>
      <c r="AF1205" s="34">
        <f>ROUND(IF(AQ1205="2",BH1205,0),2)</f>
        <v>0</v>
      </c>
      <c r="AG1205" s="34">
        <f>ROUND(IF(AQ1205="2",BI1205,0),2)</f>
        <v>0</v>
      </c>
      <c r="AH1205" s="34">
        <f>ROUND(IF(AQ1205="0",BJ1205,0),2)</f>
        <v>0</v>
      </c>
      <c r="AI1205" s="46" t="s">
        <v>91</v>
      </c>
      <c r="AJ1205" s="34">
        <f>IF(AN1205=0,I1205,0)</f>
        <v>0</v>
      </c>
      <c r="AK1205" s="34">
        <f>IF(AN1205=12,I1205,0)</f>
        <v>0</v>
      </c>
      <c r="AL1205" s="34">
        <f>IF(AN1205=21,I1205,0)</f>
        <v>0</v>
      </c>
      <c r="AN1205" s="34">
        <v>21</v>
      </c>
      <c r="AO1205" s="34">
        <f>H1205*1</f>
        <v>0</v>
      </c>
      <c r="AP1205" s="34">
        <f>H1205*(1-1)</f>
        <v>0</v>
      </c>
      <c r="AQ1205" s="65" t="s">
        <v>129</v>
      </c>
      <c r="AV1205" s="34">
        <f>ROUND(AW1205+AX1205,2)</f>
        <v>0</v>
      </c>
      <c r="AW1205" s="34">
        <f>ROUND(G1205*AO1205,2)</f>
        <v>0</v>
      </c>
      <c r="AX1205" s="34">
        <f>ROUND(G1205*AP1205,2)</f>
        <v>0</v>
      </c>
      <c r="AY1205" s="65" t="s">
        <v>1787</v>
      </c>
      <c r="AZ1205" s="65" t="s">
        <v>2257</v>
      </c>
      <c r="BA1205" s="46" t="s">
        <v>2258</v>
      </c>
      <c r="BC1205" s="34">
        <f>AW1205+AX1205</f>
        <v>0</v>
      </c>
      <c r="BD1205" s="34">
        <f>H1205/(100-BE1205)*100</f>
        <v>0</v>
      </c>
      <c r="BE1205" s="34">
        <v>0</v>
      </c>
      <c r="BF1205" s="34">
        <f>1205</f>
        <v>1205</v>
      </c>
      <c r="BH1205" s="34">
        <f>G1205*AO1205</f>
        <v>0</v>
      </c>
      <c r="BI1205" s="34">
        <f>G1205*AP1205</f>
        <v>0</v>
      </c>
      <c r="BJ1205" s="34">
        <f>G1205*H1205</f>
        <v>0</v>
      </c>
      <c r="BK1205" s="34"/>
      <c r="BL1205" s="34">
        <v>97</v>
      </c>
      <c r="BW1205" s="34">
        <v>21</v>
      </c>
      <c r="BX1205" s="3" t="s">
        <v>2285</v>
      </c>
    </row>
    <row r="1206" spans="1:76" x14ac:dyDescent="0.25">
      <c r="A1206" s="66"/>
      <c r="D1206" s="67" t="s">
        <v>129</v>
      </c>
      <c r="E1206" s="67" t="s">
        <v>4</v>
      </c>
      <c r="G1206" s="68">
        <v>1</v>
      </c>
      <c r="K1206" s="59"/>
    </row>
    <row r="1207" spans="1:76" x14ac:dyDescent="0.25">
      <c r="A1207" s="1" t="s">
        <v>2286</v>
      </c>
      <c r="B1207" s="2" t="s">
        <v>91</v>
      </c>
      <c r="C1207" s="2" t="s">
        <v>2287</v>
      </c>
      <c r="D1207" s="86" t="s">
        <v>2288</v>
      </c>
      <c r="E1207" s="81"/>
      <c r="F1207" s="2" t="s">
        <v>1190</v>
      </c>
      <c r="G1207" s="34">
        <v>1</v>
      </c>
      <c r="H1207" s="64">
        <v>0</v>
      </c>
      <c r="I1207" s="34">
        <f>ROUND(G1207*H1207,2)</f>
        <v>0</v>
      </c>
      <c r="J1207" s="65" t="s">
        <v>133</v>
      </c>
      <c r="K1207" s="59"/>
      <c r="Z1207" s="34">
        <f>ROUND(IF(AQ1207="5",BJ1207,0),2)</f>
        <v>0</v>
      </c>
      <c r="AB1207" s="34">
        <f>ROUND(IF(AQ1207="1",BH1207,0),2)</f>
        <v>0</v>
      </c>
      <c r="AC1207" s="34">
        <f>ROUND(IF(AQ1207="1",BI1207,0),2)</f>
        <v>0</v>
      </c>
      <c r="AD1207" s="34">
        <f>ROUND(IF(AQ1207="7",BH1207,0),2)</f>
        <v>0</v>
      </c>
      <c r="AE1207" s="34">
        <f>ROUND(IF(AQ1207="7",BI1207,0),2)</f>
        <v>0</v>
      </c>
      <c r="AF1207" s="34">
        <f>ROUND(IF(AQ1207="2",BH1207,0),2)</f>
        <v>0</v>
      </c>
      <c r="AG1207" s="34">
        <f>ROUND(IF(AQ1207="2",BI1207,0),2)</f>
        <v>0</v>
      </c>
      <c r="AH1207" s="34">
        <f>ROUND(IF(AQ1207="0",BJ1207,0),2)</f>
        <v>0</v>
      </c>
      <c r="AI1207" s="46" t="s">
        <v>91</v>
      </c>
      <c r="AJ1207" s="34">
        <f>IF(AN1207=0,I1207,0)</f>
        <v>0</v>
      </c>
      <c r="AK1207" s="34">
        <f>IF(AN1207=12,I1207,0)</f>
        <v>0</v>
      </c>
      <c r="AL1207" s="34">
        <f>IF(AN1207=21,I1207,0)</f>
        <v>0</v>
      </c>
      <c r="AN1207" s="34">
        <v>21</v>
      </c>
      <c r="AO1207" s="34">
        <f>H1207*1</f>
        <v>0</v>
      </c>
      <c r="AP1207" s="34">
        <f>H1207*(1-1)</f>
        <v>0</v>
      </c>
      <c r="AQ1207" s="65" t="s">
        <v>129</v>
      </c>
      <c r="AV1207" s="34">
        <f>ROUND(AW1207+AX1207,2)</f>
        <v>0</v>
      </c>
      <c r="AW1207" s="34">
        <f>ROUND(G1207*AO1207,2)</f>
        <v>0</v>
      </c>
      <c r="AX1207" s="34">
        <f>ROUND(G1207*AP1207,2)</f>
        <v>0</v>
      </c>
      <c r="AY1207" s="65" t="s">
        <v>1787</v>
      </c>
      <c r="AZ1207" s="65" t="s">
        <v>2257</v>
      </c>
      <c r="BA1207" s="46" t="s">
        <v>2258</v>
      </c>
      <c r="BC1207" s="34">
        <f>AW1207+AX1207</f>
        <v>0</v>
      </c>
      <c r="BD1207" s="34">
        <f>H1207/(100-BE1207)*100</f>
        <v>0</v>
      </c>
      <c r="BE1207" s="34">
        <v>0</v>
      </c>
      <c r="BF1207" s="34">
        <f>1207</f>
        <v>1207</v>
      </c>
      <c r="BH1207" s="34">
        <f>G1207*AO1207</f>
        <v>0</v>
      </c>
      <c r="BI1207" s="34">
        <f>G1207*AP1207</f>
        <v>0</v>
      </c>
      <c r="BJ1207" s="34">
        <f>G1207*H1207</f>
        <v>0</v>
      </c>
      <c r="BK1207" s="34"/>
      <c r="BL1207" s="34">
        <v>97</v>
      </c>
      <c r="BW1207" s="34">
        <v>21</v>
      </c>
      <c r="BX1207" s="3" t="s">
        <v>2288</v>
      </c>
    </row>
    <row r="1208" spans="1:76" x14ac:dyDescent="0.25">
      <c r="A1208" s="66"/>
      <c r="D1208" s="67" t="s">
        <v>129</v>
      </c>
      <c r="E1208" s="67" t="s">
        <v>4</v>
      </c>
      <c r="G1208" s="68">
        <v>1</v>
      </c>
      <c r="K1208" s="59"/>
    </row>
    <row r="1209" spans="1:76" x14ac:dyDescent="0.25">
      <c r="A1209" s="60" t="s">
        <v>4</v>
      </c>
      <c r="B1209" s="61" t="s">
        <v>91</v>
      </c>
      <c r="C1209" s="61" t="s">
        <v>2289</v>
      </c>
      <c r="D1209" s="167" t="s">
        <v>2290</v>
      </c>
      <c r="E1209" s="168"/>
      <c r="F1209" s="62" t="s">
        <v>79</v>
      </c>
      <c r="G1209" s="62" t="s">
        <v>79</v>
      </c>
      <c r="H1209" s="63" t="s">
        <v>79</v>
      </c>
      <c r="I1209" s="39">
        <f>SUM(I1210:I1300)</f>
        <v>0</v>
      </c>
      <c r="J1209" s="46" t="s">
        <v>4</v>
      </c>
      <c r="K1209" s="59"/>
      <c r="AI1209" s="46" t="s">
        <v>91</v>
      </c>
      <c r="AS1209" s="39">
        <f>SUM(AJ1210:AJ1300)</f>
        <v>0</v>
      </c>
      <c r="AT1209" s="39">
        <f>SUM(AK1210:AK1300)</f>
        <v>0</v>
      </c>
      <c r="AU1209" s="39">
        <f>SUM(AL1210:AL1300)</f>
        <v>0</v>
      </c>
    </row>
    <row r="1210" spans="1:76" x14ac:dyDescent="0.25">
      <c r="A1210" s="1" t="s">
        <v>2291</v>
      </c>
      <c r="B1210" s="2" t="s">
        <v>91</v>
      </c>
      <c r="C1210" s="2" t="s">
        <v>2292</v>
      </c>
      <c r="D1210" s="86" t="s">
        <v>2293</v>
      </c>
      <c r="E1210" s="81"/>
      <c r="F1210" s="2" t="s">
        <v>239</v>
      </c>
      <c r="G1210" s="34">
        <v>110</v>
      </c>
      <c r="H1210" s="64">
        <v>0</v>
      </c>
      <c r="I1210" s="34">
        <f>ROUND(G1210*H1210,2)</f>
        <v>0</v>
      </c>
      <c r="J1210" s="65" t="s">
        <v>133</v>
      </c>
      <c r="K1210" s="59"/>
      <c r="Z1210" s="34">
        <f>ROUND(IF(AQ1210="5",BJ1210,0),2)</f>
        <v>0</v>
      </c>
      <c r="AB1210" s="34">
        <f>ROUND(IF(AQ1210="1",BH1210,0),2)</f>
        <v>0</v>
      </c>
      <c r="AC1210" s="34">
        <f>ROUND(IF(AQ1210="1",BI1210,0),2)</f>
        <v>0</v>
      </c>
      <c r="AD1210" s="34">
        <f>ROUND(IF(AQ1210="7",BH1210,0),2)</f>
        <v>0</v>
      </c>
      <c r="AE1210" s="34">
        <f>ROUND(IF(AQ1210="7",BI1210,0),2)</f>
        <v>0</v>
      </c>
      <c r="AF1210" s="34">
        <f>ROUND(IF(AQ1210="2",BH1210,0),2)</f>
        <v>0</v>
      </c>
      <c r="AG1210" s="34">
        <f>ROUND(IF(AQ1210="2",BI1210,0),2)</f>
        <v>0</v>
      </c>
      <c r="AH1210" s="34">
        <f>ROUND(IF(AQ1210="0",BJ1210,0),2)</f>
        <v>0</v>
      </c>
      <c r="AI1210" s="46" t="s">
        <v>91</v>
      </c>
      <c r="AJ1210" s="34">
        <f>IF(AN1210=0,I1210,0)</f>
        <v>0</v>
      </c>
      <c r="AK1210" s="34">
        <f>IF(AN1210=12,I1210,0)</f>
        <v>0</v>
      </c>
      <c r="AL1210" s="34">
        <f>IF(AN1210=21,I1210,0)</f>
        <v>0</v>
      </c>
      <c r="AN1210" s="34">
        <v>21</v>
      </c>
      <c r="AO1210" s="34">
        <f>H1210*1</f>
        <v>0</v>
      </c>
      <c r="AP1210" s="34">
        <f>H1210*(1-1)</f>
        <v>0</v>
      </c>
      <c r="AQ1210" s="65" t="s">
        <v>129</v>
      </c>
      <c r="AV1210" s="34">
        <f>ROUND(AW1210+AX1210,2)</f>
        <v>0</v>
      </c>
      <c r="AW1210" s="34">
        <f>ROUND(G1210*AO1210,2)</f>
        <v>0</v>
      </c>
      <c r="AX1210" s="34">
        <f>ROUND(G1210*AP1210,2)</f>
        <v>0</v>
      </c>
      <c r="AY1210" s="65" t="s">
        <v>2294</v>
      </c>
      <c r="AZ1210" s="65" t="s">
        <v>2257</v>
      </c>
      <c r="BA1210" s="46" t="s">
        <v>2258</v>
      </c>
      <c r="BC1210" s="34">
        <f>AW1210+AX1210</f>
        <v>0</v>
      </c>
      <c r="BD1210" s="34">
        <f>H1210/(100-BE1210)*100</f>
        <v>0</v>
      </c>
      <c r="BE1210" s="34">
        <v>0</v>
      </c>
      <c r="BF1210" s="34">
        <f>1210</f>
        <v>1210</v>
      </c>
      <c r="BH1210" s="34">
        <f>G1210*AO1210</f>
        <v>0</v>
      </c>
      <c r="BI1210" s="34">
        <f>G1210*AP1210</f>
        <v>0</v>
      </c>
      <c r="BJ1210" s="34">
        <f>G1210*H1210</f>
        <v>0</v>
      </c>
      <c r="BK1210" s="34"/>
      <c r="BL1210" s="34"/>
      <c r="BW1210" s="34">
        <v>21</v>
      </c>
      <c r="BX1210" s="3" t="s">
        <v>2293</v>
      </c>
    </row>
    <row r="1211" spans="1:76" x14ac:dyDescent="0.25">
      <c r="A1211" s="66"/>
      <c r="D1211" s="67" t="s">
        <v>722</v>
      </c>
      <c r="E1211" s="67" t="s">
        <v>4</v>
      </c>
      <c r="G1211" s="68">
        <v>110</v>
      </c>
      <c r="K1211" s="59"/>
    </row>
    <row r="1212" spans="1:76" x14ac:dyDescent="0.25">
      <c r="A1212" s="1" t="s">
        <v>2295</v>
      </c>
      <c r="B1212" s="2" t="s">
        <v>91</v>
      </c>
      <c r="C1212" s="2" t="s">
        <v>2296</v>
      </c>
      <c r="D1212" s="86" t="s">
        <v>2297</v>
      </c>
      <c r="E1212" s="81"/>
      <c r="F1212" s="2" t="s">
        <v>239</v>
      </c>
      <c r="G1212" s="34">
        <v>10</v>
      </c>
      <c r="H1212" s="64">
        <v>0</v>
      </c>
      <c r="I1212" s="34">
        <f>ROUND(G1212*H1212,2)</f>
        <v>0</v>
      </c>
      <c r="J1212" s="65" t="s">
        <v>133</v>
      </c>
      <c r="K1212" s="59"/>
      <c r="Z1212" s="34">
        <f>ROUND(IF(AQ1212="5",BJ1212,0),2)</f>
        <v>0</v>
      </c>
      <c r="AB1212" s="34">
        <f>ROUND(IF(AQ1212="1",BH1212,0),2)</f>
        <v>0</v>
      </c>
      <c r="AC1212" s="34">
        <f>ROUND(IF(AQ1212="1",BI1212,0),2)</f>
        <v>0</v>
      </c>
      <c r="AD1212" s="34">
        <f>ROUND(IF(AQ1212="7",BH1212,0),2)</f>
        <v>0</v>
      </c>
      <c r="AE1212" s="34">
        <f>ROUND(IF(AQ1212="7",BI1212,0),2)</f>
        <v>0</v>
      </c>
      <c r="AF1212" s="34">
        <f>ROUND(IF(AQ1212="2",BH1212,0),2)</f>
        <v>0</v>
      </c>
      <c r="AG1212" s="34">
        <f>ROUND(IF(AQ1212="2",BI1212,0),2)</f>
        <v>0</v>
      </c>
      <c r="AH1212" s="34">
        <f>ROUND(IF(AQ1212="0",BJ1212,0),2)</f>
        <v>0</v>
      </c>
      <c r="AI1212" s="46" t="s">
        <v>91</v>
      </c>
      <c r="AJ1212" s="34">
        <f>IF(AN1212=0,I1212,0)</f>
        <v>0</v>
      </c>
      <c r="AK1212" s="34">
        <f>IF(AN1212=12,I1212,0)</f>
        <v>0</v>
      </c>
      <c r="AL1212" s="34">
        <f>IF(AN1212=21,I1212,0)</f>
        <v>0</v>
      </c>
      <c r="AN1212" s="34">
        <v>21</v>
      </c>
      <c r="AO1212" s="34">
        <f>H1212*1</f>
        <v>0</v>
      </c>
      <c r="AP1212" s="34">
        <f>H1212*(1-1)</f>
        <v>0</v>
      </c>
      <c r="AQ1212" s="65" t="s">
        <v>129</v>
      </c>
      <c r="AV1212" s="34">
        <f>ROUND(AW1212+AX1212,2)</f>
        <v>0</v>
      </c>
      <c r="AW1212" s="34">
        <f>ROUND(G1212*AO1212,2)</f>
        <v>0</v>
      </c>
      <c r="AX1212" s="34">
        <f>ROUND(G1212*AP1212,2)</f>
        <v>0</v>
      </c>
      <c r="AY1212" s="65" t="s">
        <v>2294</v>
      </c>
      <c r="AZ1212" s="65" t="s">
        <v>2257</v>
      </c>
      <c r="BA1212" s="46" t="s">
        <v>2258</v>
      </c>
      <c r="BC1212" s="34">
        <f>AW1212+AX1212</f>
        <v>0</v>
      </c>
      <c r="BD1212" s="34">
        <f>H1212/(100-BE1212)*100</f>
        <v>0</v>
      </c>
      <c r="BE1212" s="34">
        <v>0</v>
      </c>
      <c r="BF1212" s="34">
        <f>1212</f>
        <v>1212</v>
      </c>
      <c r="BH1212" s="34">
        <f>G1212*AO1212</f>
        <v>0</v>
      </c>
      <c r="BI1212" s="34">
        <f>G1212*AP1212</f>
        <v>0</v>
      </c>
      <c r="BJ1212" s="34">
        <f>G1212*H1212</f>
        <v>0</v>
      </c>
      <c r="BK1212" s="34"/>
      <c r="BL1212" s="34"/>
      <c r="BW1212" s="34">
        <v>21</v>
      </c>
      <c r="BX1212" s="3" t="s">
        <v>2297</v>
      </c>
    </row>
    <row r="1213" spans="1:76" x14ac:dyDescent="0.25">
      <c r="A1213" s="66"/>
      <c r="D1213" s="67" t="s">
        <v>198</v>
      </c>
      <c r="E1213" s="67" t="s">
        <v>4</v>
      </c>
      <c r="G1213" s="68">
        <v>10</v>
      </c>
      <c r="K1213" s="59"/>
    </row>
    <row r="1214" spans="1:76" x14ac:dyDescent="0.25">
      <c r="A1214" s="1" t="s">
        <v>2298</v>
      </c>
      <c r="B1214" s="2" t="s">
        <v>91</v>
      </c>
      <c r="C1214" s="2" t="s">
        <v>2299</v>
      </c>
      <c r="D1214" s="86" t="s">
        <v>2300</v>
      </c>
      <c r="E1214" s="81"/>
      <c r="F1214" s="2" t="s">
        <v>239</v>
      </c>
      <c r="G1214" s="34">
        <v>122</v>
      </c>
      <c r="H1214" s="64">
        <v>0</v>
      </c>
      <c r="I1214" s="34">
        <f>ROUND(G1214*H1214,2)</f>
        <v>0</v>
      </c>
      <c r="J1214" s="65" t="s">
        <v>133</v>
      </c>
      <c r="K1214" s="59"/>
      <c r="Z1214" s="34">
        <f>ROUND(IF(AQ1214="5",BJ1214,0),2)</f>
        <v>0</v>
      </c>
      <c r="AB1214" s="34">
        <f>ROUND(IF(AQ1214="1",BH1214,0),2)</f>
        <v>0</v>
      </c>
      <c r="AC1214" s="34">
        <f>ROUND(IF(AQ1214="1",BI1214,0),2)</f>
        <v>0</v>
      </c>
      <c r="AD1214" s="34">
        <f>ROUND(IF(AQ1214="7",BH1214,0),2)</f>
        <v>0</v>
      </c>
      <c r="AE1214" s="34">
        <f>ROUND(IF(AQ1214="7",BI1214,0),2)</f>
        <v>0</v>
      </c>
      <c r="AF1214" s="34">
        <f>ROUND(IF(AQ1214="2",BH1214,0),2)</f>
        <v>0</v>
      </c>
      <c r="AG1214" s="34">
        <f>ROUND(IF(AQ1214="2",BI1214,0),2)</f>
        <v>0</v>
      </c>
      <c r="AH1214" s="34">
        <f>ROUND(IF(AQ1214="0",BJ1214,0),2)</f>
        <v>0</v>
      </c>
      <c r="AI1214" s="46" t="s">
        <v>91</v>
      </c>
      <c r="AJ1214" s="34">
        <f>IF(AN1214=0,I1214,0)</f>
        <v>0</v>
      </c>
      <c r="AK1214" s="34">
        <f>IF(AN1214=12,I1214,0)</f>
        <v>0</v>
      </c>
      <c r="AL1214" s="34">
        <f>IF(AN1214=21,I1214,0)</f>
        <v>0</v>
      </c>
      <c r="AN1214" s="34">
        <v>21</v>
      </c>
      <c r="AO1214" s="34">
        <f>H1214*1</f>
        <v>0</v>
      </c>
      <c r="AP1214" s="34">
        <f>H1214*(1-1)</f>
        <v>0</v>
      </c>
      <c r="AQ1214" s="65" t="s">
        <v>129</v>
      </c>
      <c r="AV1214" s="34">
        <f>ROUND(AW1214+AX1214,2)</f>
        <v>0</v>
      </c>
      <c r="AW1214" s="34">
        <f>ROUND(G1214*AO1214,2)</f>
        <v>0</v>
      </c>
      <c r="AX1214" s="34">
        <f>ROUND(G1214*AP1214,2)</f>
        <v>0</v>
      </c>
      <c r="AY1214" s="65" t="s">
        <v>2294</v>
      </c>
      <c r="AZ1214" s="65" t="s">
        <v>2257</v>
      </c>
      <c r="BA1214" s="46" t="s">
        <v>2258</v>
      </c>
      <c r="BC1214" s="34">
        <f>AW1214+AX1214</f>
        <v>0</v>
      </c>
      <c r="BD1214" s="34">
        <f>H1214/(100-BE1214)*100</f>
        <v>0</v>
      </c>
      <c r="BE1214" s="34">
        <v>0</v>
      </c>
      <c r="BF1214" s="34">
        <f>1214</f>
        <v>1214</v>
      </c>
      <c r="BH1214" s="34">
        <f>G1214*AO1214</f>
        <v>0</v>
      </c>
      <c r="BI1214" s="34">
        <f>G1214*AP1214</f>
        <v>0</v>
      </c>
      <c r="BJ1214" s="34">
        <f>G1214*H1214</f>
        <v>0</v>
      </c>
      <c r="BK1214" s="34"/>
      <c r="BL1214" s="34"/>
      <c r="BW1214" s="34">
        <v>21</v>
      </c>
      <c r="BX1214" s="3" t="s">
        <v>2300</v>
      </c>
    </row>
    <row r="1215" spans="1:76" x14ac:dyDescent="0.25">
      <c r="A1215" s="66"/>
      <c r="D1215" s="67" t="s">
        <v>958</v>
      </c>
      <c r="E1215" s="67" t="s">
        <v>4</v>
      </c>
      <c r="G1215" s="68">
        <v>122</v>
      </c>
      <c r="K1215" s="59"/>
    </row>
    <row r="1216" spans="1:76" x14ac:dyDescent="0.25">
      <c r="A1216" s="1" t="s">
        <v>2301</v>
      </c>
      <c r="B1216" s="2" t="s">
        <v>91</v>
      </c>
      <c r="C1216" s="2" t="s">
        <v>2302</v>
      </c>
      <c r="D1216" s="86" t="s">
        <v>2303</v>
      </c>
      <c r="E1216" s="81"/>
      <c r="F1216" s="2" t="s">
        <v>239</v>
      </c>
      <c r="G1216" s="34">
        <v>1875</v>
      </c>
      <c r="H1216" s="64">
        <v>0</v>
      </c>
      <c r="I1216" s="34">
        <f>ROUND(G1216*H1216,2)</f>
        <v>0</v>
      </c>
      <c r="J1216" s="65" t="s">
        <v>133</v>
      </c>
      <c r="K1216" s="59"/>
      <c r="Z1216" s="34">
        <f>ROUND(IF(AQ1216="5",BJ1216,0),2)</f>
        <v>0</v>
      </c>
      <c r="AB1216" s="34">
        <f>ROUND(IF(AQ1216="1",BH1216,0),2)</f>
        <v>0</v>
      </c>
      <c r="AC1216" s="34">
        <f>ROUND(IF(AQ1216="1",BI1216,0),2)</f>
        <v>0</v>
      </c>
      <c r="AD1216" s="34">
        <f>ROUND(IF(AQ1216="7",BH1216,0),2)</f>
        <v>0</v>
      </c>
      <c r="AE1216" s="34">
        <f>ROUND(IF(AQ1216="7",BI1216,0),2)</f>
        <v>0</v>
      </c>
      <c r="AF1216" s="34">
        <f>ROUND(IF(AQ1216="2",BH1216,0),2)</f>
        <v>0</v>
      </c>
      <c r="AG1216" s="34">
        <f>ROUND(IF(AQ1216="2",BI1216,0),2)</f>
        <v>0</v>
      </c>
      <c r="AH1216" s="34">
        <f>ROUND(IF(AQ1216="0",BJ1216,0),2)</f>
        <v>0</v>
      </c>
      <c r="AI1216" s="46" t="s">
        <v>91</v>
      </c>
      <c r="AJ1216" s="34">
        <f>IF(AN1216=0,I1216,0)</f>
        <v>0</v>
      </c>
      <c r="AK1216" s="34">
        <f>IF(AN1216=12,I1216,0)</f>
        <v>0</v>
      </c>
      <c r="AL1216" s="34">
        <f>IF(AN1216=21,I1216,0)</f>
        <v>0</v>
      </c>
      <c r="AN1216" s="34">
        <v>21</v>
      </c>
      <c r="AO1216" s="34">
        <f>H1216*1</f>
        <v>0</v>
      </c>
      <c r="AP1216" s="34">
        <f>H1216*(1-1)</f>
        <v>0</v>
      </c>
      <c r="AQ1216" s="65" t="s">
        <v>129</v>
      </c>
      <c r="AV1216" s="34">
        <f>ROUND(AW1216+AX1216,2)</f>
        <v>0</v>
      </c>
      <c r="AW1216" s="34">
        <f>ROUND(G1216*AO1216,2)</f>
        <v>0</v>
      </c>
      <c r="AX1216" s="34">
        <f>ROUND(G1216*AP1216,2)</f>
        <v>0</v>
      </c>
      <c r="AY1216" s="65" t="s">
        <v>2294</v>
      </c>
      <c r="AZ1216" s="65" t="s">
        <v>2257</v>
      </c>
      <c r="BA1216" s="46" t="s">
        <v>2258</v>
      </c>
      <c r="BC1216" s="34">
        <f>AW1216+AX1216</f>
        <v>0</v>
      </c>
      <c r="BD1216" s="34">
        <f>H1216/(100-BE1216)*100</f>
        <v>0</v>
      </c>
      <c r="BE1216" s="34">
        <v>0</v>
      </c>
      <c r="BF1216" s="34">
        <f>1216</f>
        <v>1216</v>
      </c>
      <c r="BH1216" s="34">
        <f>G1216*AO1216</f>
        <v>0</v>
      </c>
      <c r="BI1216" s="34">
        <f>G1216*AP1216</f>
        <v>0</v>
      </c>
      <c r="BJ1216" s="34">
        <f>G1216*H1216</f>
        <v>0</v>
      </c>
      <c r="BK1216" s="34"/>
      <c r="BL1216" s="34"/>
      <c r="BW1216" s="34">
        <v>21</v>
      </c>
      <c r="BX1216" s="3" t="s">
        <v>2303</v>
      </c>
    </row>
    <row r="1217" spans="1:76" x14ac:dyDescent="0.25">
      <c r="A1217" s="66"/>
      <c r="D1217" s="67" t="s">
        <v>2304</v>
      </c>
      <c r="E1217" s="67" t="s">
        <v>4</v>
      </c>
      <c r="G1217" s="68">
        <v>1875</v>
      </c>
      <c r="K1217" s="59"/>
    </row>
    <row r="1218" spans="1:76" x14ac:dyDescent="0.25">
      <c r="A1218" s="1" t="s">
        <v>2305</v>
      </c>
      <c r="B1218" s="2" t="s">
        <v>91</v>
      </c>
      <c r="C1218" s="2" t="s">
        <v>2306</v>
      </c>
      <c r="D1218" s="86" t="s">
        <v>2307</v>
      </c>
      <c r="E1218" s="81"/>
      <c r="F1218" s="2" t="s">
        <v>239</v>
      </c>
      <c r="G1218" s="34">
        <v>1058</v>
      </c>
      <c r="H1218" s="64">
        <v>0</v>
      </c>
      <c r="I1218" s="34">
        <f>ROUND(G1218*H1218,2)</f>
        <v>0</v>
      </c>
      <c r="J1218" s="65" t="s">
        <v>133</v>
      </c>
      <c r="K1218" s="59"/>
      <c r="Z1218" s="34">
        <f>ROUND(IF(AQ1218="5",BJ1218,0),2)</f>
        <v>0</v>
      </c>
      <c r="AB1218" s="34">
        <f>ROUND(IF(AQ1218="1",BH1218,0),2)</f>
        <v>0</v>
      </c>
      <c r="AC1218" s="34">
        <f>ROUND(IF(AQ1218="1",BI1218,0),2)</f>
        <v>0</v>
      </c>
      <c r="AD1218" s="34">
        <f>ROUND(IF(AQ1218="7",BH1218,0),2)</f>
        <v>0</v>
      </c>
      <c r="AE1218" s="34">
        <f>ROUND(IF(AQ1218="7",BI1218,0),2)</f>
        <v>0</v>
      </c>
      <c r="AF1218" s="34">
        <f>ROUND(IF(AQ1218="2",BH1218,0),2)</f>
        <v>0</v>
      </c>
      <c r="AG1218" s="34">
        <f>ROUND(IF(AQ1218="2",BI1218,0),2)</f>
        <v>0</v>
      </c>
      <c r="AH1218" s="34">
        <f>ROUND(IF(AQ1218="0",BJ1218,0),2)</f>
        <v>0</v>
      </c>
      <c r="AI1218" s="46" t="s">
        <v>91</v>
      </c>
      <c r="AJ1218" s="34">
        <f>IF(AN1218=0,I1218,0)</f>
        <v>0</v>
      </c>
      <c r="AK1218" s="34">
        <f>IF(AN1218=12,I1218,0)</f>
        <v>0</v>
      </c>
      <c r="AL1218" s="34">
        <f>IF(AN1218=21,I1218,0)</f>
        <v>0</v>
      </c>
      <c r="AN1218" s="34">
        <v>21</v>
      </c>
      <c r="AO1218" s="34">
        <f>H1218*1</f>
        <v>0</v>
      </c>
      <c r="AP1218" s="34">
        <f>H1218*(1-1)</f>
        <v>0</v>
      </c>
      <c r="AQ1218" s="65" t="s">
        <v>129</v>
      </c>
      <c r="AV1218" s="34">
        <f>ROUND(AW1218+AX1218,2)</f>
        <v>0</v>
      </c>
      <c r="AW1218" s="34">
        <f>ROUND(G1218*AO1218,2)</f>
        <v>0</v>
      </c>
      <c r="AX1218" s="34">
        <f>ROUND(G1218*AP1218,2)</f>
        <v>0</v>
      </c>
      <c r="AY1218" s="65" t="s">
        <v>2294</v>
      </c>
      <c r="AZ1218" s="65" t="s">
        <v>2257</v>
      </c>
      <c r="BA1218" s="46" t="s">
        <v>2258</v>
      </c>
      <c r="BC1218" s="34">
        <f>AW1218+AX1218</f>
        <v>0</v>
      </c>
      <c r="BD1218" s="34">
        <f>H1218/(100-BE1218)*100</f>
        <v>0</v>
      </c>
      <c r="BE1218" s="34">
        <v>0</v>
      </c>
      <c r="BF1218" s="34">
        <f>1218</f>
        <v>1218</v>
      </c>
      <c r="BH1218" s="34">
        <f>G1218*AO1218</f>
        <v>0</v>
      </c>
      <c r="BI1218" s="34">
        <f>G1218*AP1218</f>
        <v>0</v>
      </c>
      <c r="BJ1218" s="34">
        <f>G1218*H1218</f>
        <v>0</v>
      </c>
      <c r="BK1218" s="34"/>
      <c r="BL1218" s="34"/>
      <c r="BW1218" s="34">
        <v>21</v>
      </c>
      <c r="BX1218" s="3" t="s">
        <v>2307</v>
      </c>
    </row>
    <row r="1219" spans="1:76" x14ac:dyDescent="0.25">
      <c r="A1219" s="66"/>
      <c r="D1219" s="67" t="s">
        <v>2308</v>
      </c>
      <c r="E1219" s="67" t="s">
        <v>4</v>
      </c>
      <c r="G1219" s="68">
        <v>1058</v>
      </c>
      <c r="K1219" s="59"/>
    </row>
    <row r="1220" spans="1:76" x14ac:dyDescent="0.25">
      <c r="A1220" s="1" t="s">
        <v>2309</v>
      </c>
      <c r="B1220" s="2" t="s">
        <v>91</v>
      </c>
      <c r="C1220" s="2" t="s">
        <v>2310</v>
      </c>
      <c r="D1220" s="86" t="s">
        <v>2311</v>
      </c>
      <c r="E1220" s="81"/>
      <c r="F1220" s="2" t="s">
        <v>239</v>
      </c>
      <c r="G1220" s="34">
        <v>924</v>
      </c>
      <c r="H1220" s="64">
        <v>0</v>
      </c>
      <c r="I1220" s="34">
        <f>ROUND(G1220*H1220,2)</f>
        <v>0</v>
      </c>
      <c r="J1220" s="65" t="s">
        <v>133</v>
      </c>
      <c r="K1220" s="59"/>
      <c r="Z1220" s="34">
        <f>ROUND(IF(AQ1220="5",BJ1220,0),2)</f>
        <v>0</v>
      </c>
      <c r="AB1220" s="34">
        <f>ROUND(IF(AQ1220="1",BH1220,0),2)</f>
        <v>0</v>
      </c>
      <c r="AC1220" s="34">
        <f>ROUND(IF(AQ1220="1",BI1220,0),2)</f>
        <v>0</v>
      </c>
      <c r="AD1220" s="34">
        <f>ROUND(IF(AQ1220="7",BH1220,0),2)</f>
        <v>0</v>
      </c>
      <c r="AE1220" s="34">
        <f>ROUND(IF(AQ1220="7",BI1220,0),2)</f>
        <v>0</v>
      </c>
      <c r="AF1220" s="34">
        <f>ROUND(IF(AQ1220="2",BH1220,0),2)</f>
        <v>0</v>
      </c>
      <c r="AG1220" s="34">
        <f>ROUND(IF(AQ1220="2",BI1220,0),2)</f>
        <v>0</v>
      </c>
      <c r="AH1220" s="34">
        <f>ROUND(IF(AQ1220="0",BJ1220,0),2)</f>
        <v>0</v>
      </c>
      <c r="AI1220" s="46" t="s">
        <v>91</v>
      </c>
      <c r="AJ1220" s="34">
        <f>IF(AN1220=0,I1220,0)</f>
        <v>0</v>
      </c>
      <c r="AK1220" s="34">
        <f>IF(AN1220=12,I1220,0)</f>
        <v>0</v>
      </c>
      <c r="AL1220" s="34">
        <f>IF(AN1220=21,I1220,0)</f>
        <v>0</v>
      </c>
      <c r="AN1220" s="34">
        <v>21</v>
      </c>
      <c r="AO1220" s="34">
        <f>H1220*1</f>
        <v>0</v>
      </c>
      <c r="AP1220" s="34">
        <f>H1220*(1-1)</f>
        <v>0</v>
      </c>
      <c r="AQ1220" s="65" t="s">
        <v>129</v>
      </c>
      <c r="AV1220" s="34">
        <f>ROUND(AW1220+AX1220,2)</f>
        <v>0</v>
      </c>
      <c r="AW1220" s="34">
        <f>ROUND(G1220*AO1220,2)</f>
        <v>0</v>
      </c>
      <c r="AX1220" s="34">
        <f>ROUND(G1220*AP1220,2)</f>
        <v>0</v>
      </c>
      <c r="AY1220" s="65" t="s">
        <v>2294</v>
      </c>
      <c r="AZ1220" s="65" t="s">
        <v>2257</v>
      </c>
      <c r="BA1220" s="46" t="s">
        <v>2258</v>
      </c>
      <c r="BC1220" s="34">
        <f>AW1220+AX1220</f>
        <v>0</v>
      </c>
      <c r="BD1220" s="34">
        <f>H1220/(100-BE1220)*100</f>
        <v>0</v>
      </c>
      <c r="BE1220" s="34">
        <v>0</v>
      </c>
      <c r="BF1220" s="34">
        <f>1220</f>
        <v>1220</v>
      </c>
      <c r="BH1220" s="34">
        <f>G1220*AO1220</f>
        <v>0</v>
      </c>
      <c r="BI1220" s="34">
        <f>G1220*AP1220</f>
        <v>0</v>
      </c>
      <c r="BJ1220" s="34">
        <f>G1220*H1220</f>
        <v>0</v>
      </c>
      <c r="BK1220" s="34"/>
      <c r="BL1220" s="34"/>
      <c r="BW1220" s="34">
        <v>21</v>
      </c>
      <c r="BX1220" s="3" t="s">
        <v>2311</v>
      </c>
    </row>
    <row r="1221" spans="1:76" x14ac:dyDescent="0.25">
      <c r="A1221" s="66"/>
      <c r="D1221" s="67" t="s">
        <v>2312</v>
      </c>
      <c r="E1221" s="67" t="s">
        <v>4</v>
      </c>
      <c r="G1221" s="68">
        <v>924</v>
      </c>
      <c r="K1221" s="59"/>
    </row>
    <row r="1222" spans="1:76" x14ac:dyDescent="0.25">
      <c r="A1222" s="1" t="s">
        <v>2313</v>
      </c>
      <c r="B1222" s="2" t="s">
        <v>91</v>
      </c>
      <c r="C1222" s="2" t="s">
        <v>2314</v>
      </c>
      <c r="D1222" s="86" t="s">
        <v>2315</v>
      </c>
      <c r="E1222" s="81"/>
      <c r="F1222" s="2" t="s">
        <v>239</v>
      </c>
      <c r="G1222" s="34">
        <v>516</v>
      </c>
      <c r="H1222" s="64">
        <v>0</v>
      </c>
      <c r="I1222" s="34">
        <f>ROUND(G1222*H1222,2)</f>
        <v>0</v>
      </c>
      <c r="J1222" s="65" t="s">
        <v>133</v>
      </c>
      <c r="K1222" s="59"/>
      <c r="Z1222" s="34">
        <f>ROUND(IF(AQ1222="5",BJ1222,0),2)</f>
        <v>0</v>
      </c>
      <c r="AB1222" s="34">
        <f>ROUND(IF(AQ1222="1",BH1222,0),2)</f>
        <v>0</v>
      </c>
      <c r="AC1222" s="34">
        <f>ROUND(IF(AQ1222="1",BI1222,0),2)</f>
        <v>0</v>
      </c>
      <c r="AD1222" s="34">
        <f>ROUND(IF(AQ1222="7",BH1222,0),2)</f>
        <v>0</v>
      </c>
      <c r="AE1222" s="34">
        <f>ROUND(IF(AQ1222="7",BI1222,0),2)</f>
        <v>0</v>
      </c>
      <c r="AF1222" s="34">
        <f>ROUND(IF(AQ1222="2",BH1222,0),2)</f>
        <v>0</v>
      </c>
      <c r="AG1222" s="34">
        <f>ROUND(IF(AQ1222="2",BI1222,0),2)</f>
        <v>0</v>
      </c>
      <c r="AH1222" s="34">
        <f>ROUND(IF(AQ1222="0",BJ1222,0),2)</f>
        <v>0</v>
      </c>
      <c r="AI1222" s="46" t="s">
        <v>91</v>
      </c>
      <c r="AJ1222" s="34">
        <f>IF(AN1222=0,I1222,0)</f>
        <v>0</v>
      </c>
      <c r="AK1222" s="34">
        <f>IF(AN1222=12,I1222,0)</f>
        <v>0</v>
      </c>
      <c r="AL1222" s="34">
        <f>IF(AN1222=21,I1222,0)</f>
        <v>0</v>
      </c>
      <c r="AN1222" s="34">
        <v>21</v>
      </c>
      <c r="AO1222" s="34">
        <f>H1222*1</f>
        <v>0</v>
      </c>
      <c r="AP1222" s="34">
        <f>H1222*(1-1)</f>
        <v>0</v>
      </c>
      <c r="AQ1222" s="65" t="s">
        <v>129</v>
      </c>
      <c r="AV1222" s="34">
        <f>ROUND(AW1222+AX1222,2)</f>
        <v>0</v>
      </c>
      <c r="AW1222" s="34">
        <f>ROUND(G1222*AO1222,2)</f>
        <v>0</v>
      </c>
      <c r="AX1222" s="34">
        <f>ROUND(G1222*AP1222,2)</f>
        <v>0</v>
      </c>
      <c r="AY1222" s="65" t="s">
        <v>2294</v>
      </c>
      <c r="AZ1222" s="65" t="s">
        <v>2257</v>
      </c>
      <c r="BA1222" s="46" t="s">
        <v>2258</v>
      </c>
      <c r="BC1222" s="34">
        <f>AW1222+AX1222</f>
        <v>0</v>
      </c>
      <c r="BD1222" s="34">
        <f>H1222/(100-BE1222)*100</f>
        <v>0</v>
      </c>
      <c r="BE1222" s="34">
        <v>0</v>
      </c>
      <c r="BF1222" s="34">
        <f>1222</f>
        <v>1222</v>
      </c>
      <c r="BH1222" s="34">
        <f>G1222*AO1222</f>
        <v>0</v>
      </c>
      <c r="BI1222" s="34">
        <f>G1222*AP1222</f>
        <v>0</v>
      </c>
      <c r="BJ1222" s="34">
        <f>G1222*H1222</f>
        <v>0</v>
      </c>
      <c r="BK1222" s="34"/>
      <c r="BL1222" s="34"/>
      <c r="BW1222" s="34">
        <v>21</v>
      </c>
      <c r="BX1222" s="3" t="s">
        <v>2315</v>
      </c>
    </row>
    <row r="1223" spans="1:76" x14ac:dyDescent="0.25">
      <c r="A1223" s="66"/>
      <c r="D1223" s="67" t="s">
        <v>2316</v>
      </c>
      <c r="E1223" s="67" t="s">
        <v>4</v>
      </c>
      <c r="G1223" s="68">
        <v>516</v>
      </c>
      <c r="K1223" s="59"/>
    </row>
    <row r="1224" spans="1:76" x14ac:dyDescent="0.25">
      <c r="A1224" s="1" t="s">
        <v>2317</v>
      </c>
      <c r="B1224" s="2" t="s">
        <v>91</v>
      </c>
      <c r="C1224" s="2" t="s">
        <v>2318</v>
      </c>
      <c r="D1224" s="86" t="s">
        <v>2319</v>
      </c>
      <c r="E1224" s="81"/>
      <c r="F1224" s="2" t="s">
        <v>239</v>
      </c>
      <c r="G1224" s="34">
        <v>414</v>
      </c>
      <c r="H1224" s="64">
        <v>0</v>
      </c>
      <c r="I1224" s="34">
        <f>ROUND(G1224*H1224,2)</f>
        <v>0</v>
      </c>
      <c r="J1224" s="65" t="s">
        <v>133</v>
      </c>
      <c r="K1224" s="59"/>
      <c r="Z1224" s="34">
        <f>ROUND(IF(AQ1224="5",BJ1224,0),2)</f>
        <v>0</v>
      </c>
      <c r="AB1224" s="34">
        <f>ROUND(IF(AQ1224="1",BH1224,0),2)</f>
        <v>0</v>
      </c>
      <c r="AC1224" s="34">
        <f>ROUND(IF(AQ1224="1",BI1224,0),2)</f>
        <v>0</v>
      </c>
      <c r="AD1224" s="34">
        <f>ROUND(IF(AQ1224="7",BH1224,0),2)</f>
        <v>0</v>
      </c>
      <c r="AE1224" s="34">
        <f>ROUND(IF(AQ1224="7",BI1224,0),2)</f>
        <v>0</v>
      </c>
      <c r="AF1224" s="34">
        <f>ROUND(IF(AQ1224="2",BH1224,0),2)</f>
        <v>0</v>
      </c>
      <c r="AG1224" s="34">
        <f>ROUND(IF(AQ1224="2",BI1224,0),2)</f>
        <v>0</v>
      </c>
      <c r="AH1224" s="34">
        <f>ROUND(IF(AQ1224="0",BJ1224,0),2)</f>
        <v>0</v>
      </c>
      <c r="AI1224" s="46" t="s">
        <v>91</v>
      </c>
      <c r="AJ1224" s="34">
        <f>IF(AN1224=0,I1224,0)</f>
        <v>0</v>
      </c>
      <c r="AK1224" s="34">
        <f>IF(AN1224=12,I1224,0)</f>
        <v>0</v>
      </c>
      <c r="AL1224" s="34">
        <f>IF(AN1224=21,I1224,0)</f>
        <v>0</v>
      </c>
      <c r="AN1224" s="34">
        <v>21</v>
      </c>
      <c r="AO1224" s="34">
        <f>H1224*1</f>
        <v>0</v>
      </c>
      <c r="AP1224" s="34">
        <f>H1224*(1-1)</f>
        <v>0</v>
      </c>
      <c r="AQ1224" s="65" t="s">
        <v>129</v>
      </c>
      <c r="AV1224" s="34">
        <f>ROUND(AW1224+AX1224,2)</f>
        <v>0</v>
      </c>
      <c r="AW1224" s="34">
        <f>ROUND(G1224*AO1224,2)</f>
        <v>0</v>
      </c>
      <c r="AX1224" s="34">
        <f>ROUND(G1224*AP1224,2)</f>
        <v>0</v>
      </c>
      <c r="AY1224" s="65" t="s">
        <v>2294</v>
      </c>
      <c r="AZ1224" s="65" t="s">
        <v>2257</v>
      </c>
      <c r="BA1224" s="46" t="s">
        <v>2258</v>
      </c>
      <c r="BC1224" s="34">
        <f>AW1224+AX1224</f>
        <v>0</v>
      </c>
      <c r="BD1224" s="34">
        <f>H1224/(100-BE1224)*100</f>
        <v>0</v>
      </c>
      <c r="BE1224" s="34">
        <v>0</v>
      </c>
      <c r="BF1224" s="34">
        <f>1224</f>
        <v>1224</v>
      </c>
      <c r="BH1224" s="34">
        <f>G1224*AO1224</f>
        <v>0</v>
      </c>
      <c r="BI1224" s="34">
        <f>G1224*AP1224</f>
        <v>0</v>
      </c>
      <c r="BJ1224" s="34">
        <f>G1224*H1224</f>
        <v>0</v>
      </c>
      <c r="BK1224" s="34"/>
      <c r="BL1224" s="34"/>
      <c r="BW1224" s="34">
        <v>21</v>
      </c>
      <c r="BX1224" s="3" t="s">
        <v>2319</v>
      </c>
    </row>
    <row r="1225" spans="1:76" x14ac:dyDescent="0.25">
      <c r="A1225" s="66"/>
      <c r="D1225" s="67" t="s">
        <v>2239</v>
      </c>
      <c r="E1225" s="67" t="s">
        <v>4</v>
      </c>
      <c r="G1225" s="68">
        <v>414</v>
      </c>
      <c r="K1225" s="59"/>
    </row>
    <row r="1226" spans="1:76" x14ac:dyDescent="0.25">
      <c r="A1226" s="1" t="s">
        <v>2320</v>
      </c>
      <c r="B1226" s="2" t="s">
        <v>91</v>
      </c>
      <c r="C1226" s="2" t="s">
        <v>2321</v>
      </c>
      <c r="D1226" s="86" t="s">
        <v>2322</v>
      </c>
      <c r="E1226" s="81"/>
      <c r="F1226" s="2" t="s">
        <v>239</v>
      </c>
      <c r="G1226" s="34">
        <v>25</v>
      </c>
      <c r="H1226" s="64">
        <v>0</v>
      </c>
      <c r="I1226" s="34">
        <f>ROUND(G1226*H1226,2)</f>
        <v>0</v>
      </c>
      <c r="J1226" s="65" t="s">
        <v>133</v>
      </c>
      <c r="K1226" s="59"/>
      <c r="Z1226" s="34">
        <f>ROUND(IF(AQ1226="5",BJ1226,0),2)</f>
        <v>0</v>
      </c>
      <c r="AB1226" s="34">
        <f>ROUND(IF(AQ1226="1",BH1226,0),2)</f>
        <v>0</v>
      </c>
      <c r="AC1226" s="34">
        <f>ROUND(IF(AQ1226="1",BI1226,0),2)</f>
        <v>0</v>
      </c>
      <c r="AD1226" s="34">
        <f>ROUND(IF(AQ1226="7",BH1226,0),2)</f>
        <v>0</v>
      </c>
      <c r="AE1226" s="34">
        <f>ROUND(IF(AQ1226="7",BI1226,0),2)</f>
        <v>0</v>
      </c>
      <c r="AF1226" s="34">
        <f>ROUND(IF(AQ1226="2",BH1226,0),2)</f>
        <v>0</v>
      </c>
      <c r="AG1226" s="34">
        <f>ROUND(IF(AQ1226="2",BI1226,0),2)</f>
        <v>0</v>
      </c>
      <c r="AH1226" s="34">
        <f>ROUND(IF(AQ1226="0",BJ1226,0),2)</f>
        <v>0</v>
      </c>
      <c r="AI1226" s="46" t="s">
        <v>91</v>
      </c>
      <c r="AJ1226" s="34">
        <f>IF(AN1226=0,I1226,0)</f>
        <v>0</v>
      </c>
      <c r="AK1226" s="34">
        <f>IF(AN1226=12,I1226,0)</f>
        <v>0</v>
      </c>
      <c r="AL1226" s="34">
        <f>IF(AN1226=21,I1226,0)</f>
        <v>0</v>
      </c>
      <c r="AN1226" s="34">
        <v>21</v>
      </c>
      <c r="AO1226" s="34">
        <f>H1226*1</f>
        <v>0</v>
      </c>
      <c r="AP1226" s="34">
        <f>H1226*(1-1)</f>
        <v>0</v>
      </c>
      <c r="AQ1226" s="65" t="s">
        <v>129</v>
      </c>
      <c r="AV1226" s="34">
        <f>ROUND(AW1226+AX1226,2)</f>
        <v>0</v>
      </c>
      <c r="AW1226" s="34">
        <f>ROUND(G1226*AO1226,2)</f>
        <v>0</v>
      </c>
      <c r="AX1226" s="34">
        <f>ROUND(G1226*AP1226,2)</f>
        <v>0</v>
      </c>
      <c r="AY1226" s="65" t="s">
        <v>2294</v>
      </c>
      <c r="AZ1226" s="65" t="s">
        <v>2257</v>
      </c>
      <c r="BA1226" s="46" t="s">
        <v>2258</v>
      </c>
      <c r="BC1226" s="34">
        <f>AW1226+AX1226</f>
        <v>0</v>
      </c>
      <c r="BD1226" s="34">
        <f>H1226/(100-BE1226)*100</f>
        <v>0</v>
      </c>
      <c r="BE1226" s="34">
        <v>0</v>
      </c>
      <c r="BF1226" s="34">
        <f>1226</f>
        <v>1226</v>
      </c>
      <c r="BH1226" s="34">
        <f>G1226*AO1226</f>
        <v>0</v>
      </c>
      <c r="BI1226" s="34">
        <f>G1226*AP1226</f>
        <v>0</v>
      </c>
      <c r="BJ1226" s="34">
        <f>G1226*H1226</f>
        <v>0</v>
      </c>
      <c r="BK1226" s="34"/>
      <c r="BL1226" s="34"/>
      <c r="BW1226" s="34">
        <v>21</v>
      </c>
      <c r="BX1226" s="3" t="s">
        <v>2322</v>
      </c>
    </row>
    <row r="1227" spans="1:76" x14ac:dyDescent="0.25">
      <c r="A1227" s="66"/>
      <c r="D1227" s="67" t="s">
        <v>304</v>
      </c>
      <c r="E1227" s="67" t="s">
        <v>4</v>
      </c>
      <c r="G1227" s="68">
        <v>25</v>
      </c>
      <c r="K1227" s="59"/>
    </row>
    <row r="1228" spans="1:76" x14ac:dyDescent="0.25">
      <c r="A1228" s="1" t="s">
        <v>2323</v>
      </c>
      <c r="B1228" s="2" t="s">
        <v>91</v>
      </c>
      <c r="C1228" s="2" t="s">
        <v>2324</v>
      </c>
      <c r="D1228" s="86" t="s">
        <v>2325</v>
      </c>
      <c r="E1228" s="81"/>
      <c r="F1228" s="2" t="s">
        <v>239</v>
      </c>
      <c r="G1228" s="34">
        <v>103</v>
      </c>
      <c r="H1228" s="64">
        <v>0</v>
      </c>
      <c r="I1228" s="34">
        <f>ROUND(G1228*H1228,2)</f>
        <v>0</v>
      </c>
      <c r="J1228" s="65" t="s">
        <v>133</v>
      </c>
      <c r="K1228" s="59"/>
      <c r="Z1228" s="34">
        <f>ROUND(IF(AQ1228="5",BJ1228,0),2)</f>
        <v>0</v>
      </c>
      <c r="AB1228" s="34">
        <f>ROUND(IF(AQ1228="1",BH1228,0),2)</f>
        <v>0</v>
      </c>
      <c r="AC1228" s="34">
        <f>ROUND(IF(AQ1228="1",BI1228,0),2)</f>
        <v>0</v>
      </c>
      <c r="AD1228" s="34">
        <f>ROUND(IF(AQ1228="7",BH1228,0),2)</f>
        <v>0</v>
      </c>
      <c r="AE1228" s="34">
        <f>ROUND(IF(AQ1228="7",BI1228,0),2)</f>
        <v>0</v>
      </c>
      <c r="AF1228" s="34">
        <f>ROUND(IF(AQ1228="2",BH1228,0),2)</f>
        <v>0</v>
      </c>
      <c r="AG1228" s="34">
        <f>ROUND(IF(AQ1228="2",BI1228,0),2)</f>
        <v>0</v>
      </c>
      <c r="AH1228" s="34">
        <f>ROUND(IF(AQ1228="0",BJ1228,0),2)</f>
        <v>0</v>
      </c>
      <c r="AI1228" s="46" t="s">
        <v>91</v>
      </c>
      <c r="AJ1228" s="34">
        <f>IF(AN1228=0,I1228,0)</f>
        <v>0</v>
      </c>
      <c r="AK1228" s="34">
        <f>IF(AN1228=12,I1228,0)</f>
        <v>0</v>
      </c>
      <c r="AL1228" s="34">
        <f>IF(AN1228=21,I1228,0)</f>
        <v>0</v>
      </c>
      <c r="AN1228" s="34">
        <v>21</v>
      </c>
      <c r="AO1228" s="34">
        <f>H1228*1</f>
        <v>0</v>
      </c>
      <c r="AP1228" s="34">
        <f>H1228*(1-1)</f>
        <v>0</v>
      </c>
      <c r="AQ1228" s="65" t="s">
        <v>129</v>
      </c>
      <c r="AV1228" s="34">
        <f>ROUND(AW1228+AX1228,2)</f>
        <v>0</v>
      </c>
      <c r="AW1228" s="34">
        <f>ROUND(G1228*AO1228,2)</f>
        <v>0</v>
      </c>
      <c r="AX1228" s="34">
        <f>ROUND(G1228*AP1228,2)</f>
        <v>0</v>
      </c>
      <c r="AY1228" s="65" t="s">
        <v>2294</v>
      </c>
      <c r="AZ1228" s="65" t="s">
        <v>2257</v>
      </c>
      <c r="BA1228" s="46" t="s">
        <v>2258</v>
      </c>
      <c r="BC1228" s="34">
        <f>AW1228+AX1228</f>
        <v>0</v>
      </c>
      <c r="BD1228" s="34">
        <f>H1228/(100-BE1228)*100</f>
        <v>0</v>
      </c>
      <c r="BE1228" s="34">
        <v>0</v>
      </c>
      <c r="BF1228" s="34">
        <f>1228</f>
        <v>1228</v>
      </c>
      <c r="BH1228" s="34">
        <f>G1228*AO1228</f>
        <v>0</v>
      </c>
      <c r="BI1228" s="34">
        <f>G1228*AP1228</f>
        <v>0</v>
      </c>
      <c r="BJ1228" s="34">
        <f>G1228*H1228</f>
        <v>0</v>
      </c>
      <c r="BK1228" s="34"/>
      <c r="BL1228" s="34"/>
      <c r="BW1228" s="34">
        <v>21</v>
      </c>
      <c r="BX1228" s="3" t="s">
        <v>2325</v>
      </c>
    </row>
    <row r="1229" spans="1:76" x14ac:dyDescent="0.25">
      <c r="A1229" s="66"/>
      <c r="D1229" s="67" t="s">
        <v>855</v>
      </c>
      <c r="E1229" s="67" t="s">
        <v>4</v>
      </c>
      <c r="G1229" s="68">
        <v>103</v>
      </c>
      <c r="K1229" s="59"/>
    </row>
    <row r="1230" spans="1:76" x14ac:dyDescent="0.25">
      <c r="A1230" s="1" t="s">
        <v>2326</v>
      </c>
      <c r="B1230" s="2" t="s">
        <v>91</v>
      </c>
      <c r="C1230" s="2" t="s">
        <v>2327</v>
      </c>
      <c r="D1230" s="86" t="s">
        <v>2328</v>
      </c>
      <c r="E1230" s="81"/>
      <c r="F1230" s="2" t="s">
        <v>239</v>
      </c>
      <c r="G1230" s="34">
        <v>121</v>
      </c>
      <c r="H1230" s="64">
        <v>0</v>
      </c>
      <c r="I1230" s="34">
        <f>ROUND(G1230*H1230,2)</f>
        <v>0</v>
      </c>
      <c r="J1230" s="65" t="s">
        <v>133</v>
      </c>
      <c r="K1230" s="59"/>
      <c r="Z1230" s="34">
        <f>ROUND(IF(AQ1230="5",BJ1230,0),2)</f>
        <v>0</v>
      </c>
      <c r="AB1230" s="34">
        <f>ROUND(IF(AQ1230="1",BH1230,0),2)</f>
        <v>0</v>
      </c>
      <c r="AC1230" s="34">
        <f>ROUND(IF(AQ1230="1",BI1230,0),2)</f>
        <v>0</v>
      </c>
      <c r="AD1230" s="34">
        <f>ROUND(IF(AQ1230="7",BH1230,0),2)</f>
        <v>0</v>
      </c>
      <c r="AE1230" s="34">
        <f>ROUND(IF(AQ1230="7",BI1230,0),2)</f>
        <v>0</v>
      </c>
      <c r="AF1230" s="34">
        <f>ROUND(IF(AQ1230="2",BH1230,0),2)</f>
        <v>0</v>
      </c>
      <c r="AG1230" s="34">
        <f>ROUND(IF(AQ1230="2",BI1230,0),2)</f>
        <v>0</v>
      </c>
      <c r="AH1230" s="34">
        <f>ROUND(IF(AQ1230="0",BJ1230,0),2)</f>
        <v>0</v>
      </c>
      <c r="AI1230" s="46" t="s">
        <v>91</v>
      </c>
      <c r="AJ1230" s="34">
        <f>IF(AN1230=0,I1230,0)</f>
        <v>0</v>
      </c>
      <c r="AK1230" s="34">
        <f>IF(AN1230=12,I1230,0)</f>
        <v>0</v>
      </c>
      <c r="AL1230" s="34">
        <f>IF(AN1230=21,I1230,0)</f>
        <v>0</v>
      </c>
      <c r="AN1230" s="34">
        <v>21</v>
      </c>
      <c r="AO1230" s="34">
        <f>H1230*1</f>
        <v>0</v>
      </c>
      <c r="AP1230" s="34">
        <f>H1230*(1-1)</f>
        <v>0</v>
      </c>
      <c r="AQ1230" s="65" t="s">
        <v>129</v>
      </c>
      <c r="AV1230" s="34">
        <f>ROUND(AW1230+AX1230,2)</f>
        <v>0</v>
      </c>
      <c r="AW1230" s="34">
        <f>ROUND(G1230*AO1230,2)</f>
        <v>0</v>
      </c>
      <c r="AX1230" s="34">
        <f>ROUND(G1230*AP1230,2)</f>
        <v>0</v>
      </c>
      <c r="AY1230" s="65" t="s">
        <v>2294</v>
      </c>
      <c r="AZ1230" s="65" t="s">
        <v>2257</v>
      </c>
      <c r="BA1230" s="46" t="s">
        <v>2258</v>
      </c>
      <c r="BC1230" s="34">
        <f>AW1230+AX1230</f>
        <v>0</v>
      </c>
      <c r="BD1230" s="34">
        <f>H1230/(100-BE1230)*100</f>
        <v>0</v>
      </c>
      <c r="BE1230" s="34">
        <v>0</v>
      </c>
      <c r="BF1230" s="34">
        <f>1230</f>
        <v>1230</v>
      </c>
      <c r="BH1230" s="34">
        <f>G1230*AO1230</f>
        <v>0</v>
      </c>
      <c r="BI1230" s="34">
        <f>G1230*AP1230</f>
        <v>0</v>
      </c>
      <c r="BJ1230" s="34">
        <f>G1230*H1230</f>
        <v>0</v>
      </c>
      <c r="BK1230" s="34"/>
      <c r="BL1230" s="34"/>
      <c r="BW1230" s="34">
        <v>21</v>
      </c>
      <c r="BX1230" s="3" t="s">
        <v>2328</v>
      </c>
    </row>
    <row r="1231" spans="1:76" x14ac:dyDescent="0.25">
      <c r="A1231" s="66"/>
      <c r="D1231" s="67" t="s">
        <v>954</v>
      </c>
      <c r="E1231" s="67" t="s">
        <v>4</v>
      </c>
      <c r="G1231" s="68">
        <v>121</v>
      </c>
      <c r="K1231" s="59"/>
    </row>
    <row r="1232" spans="1:76" x14ac:dyDescent="0.25">
      <c r="A1232" s="1" t="s">
        <v>2329</v>
      </c>
      <c r="B1232" s="2" t="s">
        <v>91</v>
      </c>
      <c r="C1232" s="2" t="s">
        <v>2330</v>
      </c>
      <c r="D1232" s="86" t="s">
        <v>2331</v>
      </c>
      <c r="E1232" s="81"/>
      <c r="F1232" s="2" t="s">
        <v>239</v>
      </c>
      <c r="G1232" s="34">
        <v>84</v>
      </c>
      <c r="H1232" s="64">
        <v>0</v>
      </c>
      <c r="I1232" s="34">
        <f>ROUND(G1232*H1232,2)</f>
        <v>0</v>
      </c>
      <c r="J1232" s="65" t="s">
        <v>133</v>
      </c>
      <c r="K1232" s="59"/>
      <c r="Z1232" s="34">
        <f>ROUND(IF(AQ1232="5",BJ1232,0),2)</f>
        <v>0</v>
      </c>
      <c r="AB1232" s="34">
        <f>ROUND(IF(AQ1232="1",BH1232,0),2)</f>
        <v>0</v>
      </c>
      <c r="AC1232" s="34">
        <f>ROUND(IF(AQ1232="1",BI1232,0),2)</f>
        <v>0</v>
      </c>
      <c r="AD1232" s="34">
        <f>ROUND(IF(AQ1232="7",BH1232,0),2)</f>
        <v>0</v>
      </c>
      <c r="AE1232" s="34">
        <f>ROUND(IF(AQ1232="7",BI1232,0),2)</f>
        <v>0</v>
      </c>
      <c r="AF1232" s="34">
        <f>ROUND(IF(AQ1232="2",BH1232,0),2)</f>
        <v>0</v>
      </c>
      <c r="AG1232" s="34">
        <f>ROUND(IF(AQ1232="2",BI1232,0),2)</f>
        <v>0</v>
      </c>
      <c r="AH1232" s="34">
        <f>ROUND(IF(AQ1232="0",BJ1232,0),2)</f>
        <v>0</v>
      </c>
      <c r="AI1232" s="46" t="s">
        <v>91</v>
      </c>
      <c r="AJ1232" s="34">
        <f>IF(AN1232=0,I1232,0)</f>
        <v>0</v>
      </c>
      <c r="AK1232" s="34">
        <f>IF(AN1232=12,I1232,0)</f>
        <v>0</v>
      </c>
      <c r="AL1232" s="34">
        <f>IF(AN1232=21,I1232,0)</f>
        <v>0</v>
      </c>
      <c r="AN1232" s="34">
        <v>21</v>
      </c>
      <c r="AO1232" s="34">
        <f>H1232*1</f>
        <v>0</v>
      </c>
      <c r="AP1232" s="34">
        <f>H1232*(1-1)</f>
        <v>0</v>
      </c>
      <c r="AQ1232" s="65" t="s">
        <v>129</v>
      </c>
      <c r="AV1232" s="34">
        <f>ROUND(AW1232+AX1232,2)</f>
        <v>0</v>
      </c>
      <c r="AW1232" s="34">
        <f>ROUND(G1232*AO1232,2)</f>
        <v>0</v>
      </c>
      <c r="AX1232" s="34">
        <f>ROUND(G1232*AP1232,2)</f>
        <v>0</v>
      </c>
      <c r="AY1232" s="65" t="s">
        <v>2294</v>
      </c>
      <c r="AZ1232" s="65" t="s">
        <v>2257</v>
      </c>
      <c r="BA1232" s="46" t="s">
        <v>2258</v>
      </c>
      <c r="BC1232" s="34">
        <f>AW1232+AX1232</f>
        <v>0</v>
      </c>
      <c r="BD1232" s="34">
        <f>H1232/(100-BE1232)*100</f>
        <v>0</v>
      </c>
      <c r="BE1232" s="34">
        <v>0</v>
      </c>
      <c r="BF1232" s="34">
        <f>1232</f>
        <v>1232</v>
      </c>
      <c r="BH1232" s="34">
        <f>G1232*AO1232</f>
        <v>0</v>
      </c>
      <c r="BI1232" s="34">
        <f>G1232*AP1232</f>
        <v>0</v>
      </c>
      <c r="BJ1232" s="34">
        <f>G1232*H1232</f>
        <v>0</v>
      </c>
      <c r="BK1232" s="34"/>
      <c r="BL1232" s="34"/>
      <c r="BW1232" s="34">
        <v>21</v>
      </c>
      <c r="BX1232" s="3" t="s">
        <v>2331</v>
      </c>
    </row>
    <row r="1233" spans="1:76" x14ac:dyDescent="0.25">
      <c r="A1233" s="66"/>
      <c r="D1233" s="67" t="s">
        <v>738</v>
      </c>
      <c r="E1233" s="67" t="s">
        <v>4</v>
      </c>
      <c r="G1233" s="68">
        <v>84</v>
      </c>
      <c r="K1233" s="59"/>
    </row>
    <row r="1234" spans="1:76" x14ac:dyDescent="0.25">
      <c r="A1234" s="1" t="s">
        <v>2332</v>
      </c>
      <c r="B1234" s="2" t="s">
        <v>91</v>
      </c>
      <c r="C1234" s="2" t="s">
        <v>2333</v>
      </c>
      <c r="D1234" s="86" t="s">
        <v>2334</v>
      </c>
      <c r="E1234" s="81"/>
      <c r="F1234" s="2" t="s">
        <v>239</v>
      </c>
      <c r="G1234" s="34">
        <v>32</v>
      </c>
      <c r="H1234" s="64">
        <v>0</v>
      </c>
      <c r="I1234" s="34">
        <f>ROUND(G1234*H1234,2)</f>
        <v>0</v>
      </c>
      <c r="J1234" s="65" t="s">
        <v>133</v>
      </c>
      <c r="K1234" s="59"/>
      <c r="Z1234" s="34">
        <f>ROUND(IF(AQ1234="5",BJ1234,0),2)</f>
        <v>0</v>
      </c>
      <c r="AB1234" s="34">
        <f>ROUND(IF(AQ1234="1",BH1234,0),2)</f>
        <v>0</v>
      </c>
      <c r="AC1234" s="34">
        <f>ROUND(IF(AQ1234="1",BI1234,0),2)</f>
        <v>0</v>
      </c>
      <c r="AD1234" s="34">
        <f>ROUND(IF(AQ1234="7",BH1234,0),2)</f>
        <v>0</v>
      </c>
      <c r="AE1234" s="34">
        <f>ROUND(IF(AQ1234="7",BI1234,0),2)</f>
        <v>0</v>
      </c>
      <c r="AF1234" s="34">
        <f>ROUND(IF(AQ1234="2",BH1234,0),2)</f>
        <v>0</v>
      </c>
      <c r="AG1234" s="34">
        <f>ROUND(IF(AQ1234="2",BI1234,0),2)</f>
        <v>0</v>
      </c>
      <c r="AH1234" s="34">
        <f>ROUND(IF(AQ1234="0",BJ1234,0),2)</f>
        <v>0</v>
      </c>
      <c r="AI1234" s="46" t="s">
        <v>91</v>
      </c>
      <c r="AJ1234" s="34">
        <f>IF(AN1234=0,I1234,0)</f>
        <v>0</v>
      </c>
      <c r="AK1234" s="34">
        <f>IF(AN1234=12,I1234,0)</f>
        <v>0</v>
      </c>
      <c r="AL1234" s="34">
        <f>IF(AN1234=21,I1234,0)</f>
        <v>0</v>
      </c>
      <c r="AN1234" s="34">
        <v>21</v>
      </c>
      <c r="AO1234" s="34">
        <f>H1234*1</f>
        <v>0</v>
      </c>
      <c r="AP1234" s="34">
        <f>H1234*(1-1)</f>
        <v>0</v>
      </c>
      <c r="AQ1234" s="65" t="s">
        <v>129</v>
      </c>
      <c r="AV1234" s="34">
        <f>ROUND(AW1234+AX1234,2)</f>
        <v>0</v>
      </c>
      <c r="AW1234" s="34">
        <f>ROUND(G1234*AO1234,2)</f>
        <v>0</v>
      </c>
      <c r="AX1234" s="34">
        <f>ROUND(G1234*AP1234,2)</f>
        <v>0</v>
      </c>
      <c r="AY1234" s="65" t="s">
        <v>2294</v>
      </c>
      <c r="AZ1234" s="65" t="s">
        <v>2257</v>
      </c>
      <c r="BA1234" s="46" t="s">
        <v>2258</v>
      </c>
      <c r="BC1234" s="34">
        <f>AW1234+AX1234</f>
        <v>0</v>
      </c>
      <c r="BD1234" s="34">
        <f>H1234/(100-BE1234)*100</f>
        <v>0</v>
      </c>
      <c r="BE1234" s="34">
        <v>0</v>
      </c>
      <c r="BF1234" s="34">
        <f>1234</f>
        <v>1234</v>
      </c>
      <c r="BH1234" s="34">
        <f>G1234*AO1234</f>
        <v>0</v>
      </c>
      <c r="BI1234" s="34">
        <f>G1234*AP1234</f>
        <v>0</v>
      </c>
      <c r="BJ1234" s="34">
        <f>G1234*H1234</f>
        <v>0</v>
      </c>
      <c r="BK1234" s="34"/>
      <c r="BL1234" s="34"/>
      <c r="BW1234" s="34">
        <v>21</v>
      </c>
      <c r="BX1234" s="3" t="s">
        <v>2334</v>
      </c>
    </row>
    <row r="1235" spans="1:76" x14ac:dyDescent="0.25">
      <c r="A1235" s="66"/>
      <c r="D1235" s="67" t="s">
        <v>362</v>
      </c>
      <c r="E1235" s="67" t="s">
        <v>4</v>
      </c>
      <c r="G1235" s="68">
        <v>32</v>
      </c>
      <c r="K1235" s="59"/>
    </row>
    <row r="1236" spans="1:76" x14ac:dyDescent="0.25">
      <c r="A1236" s="1" t="s">
        <v>2335</v>
      </c>
      <c r="B1236" s="2" t="s">
        <v>91</v>
      </c>
      <c r="C1236" s="2" t="s">
        <v>2336</v>
      </c>
      <c r="D1236" s="86" t="s">
        <v>2337</v>
      </c>
      <c r="E1236" s="81"/>
      <c r="F1236" s="2" t="s">
        <v>239</v>
      </c>
      <c r="G1236" s="34">
        <v>85</v>
      </c>
      <c r="H1236" s="64">
        <v>0</v>
      </c>
      <c r="I1236" s="34">
        <f>ROUND(G1236*H1236,2)</f>
        <v>0</v>
      </c>
      <c r="J1236" s="65" t="s">
        <v>133</v>
      </c>
      <c r="K1236" s="59"/>
      <c r="Z1236" s="34">
        <f>ROUND(IF(AQ1236="5",BJ1236,0),2)</f>
        <v>0</v>
      </c>
      <c r="AB1236" s="34">
        <f>ROUND(IF(AQ1236="1",BH1236,0),2)</f>
        <v>0</v>
      </c>
      <c r="AC1236" s="34">
        <f>ROUND(IF(AQ1236="1",BI1236,0),2)</f>
        <v>0</v>
      </c>
      <c r="AD1236" s="34">
        <f>ROUND(IF(AQ1236="7",BH1236,0),2)</f>
        <v>0</v>
      </c>
      <c r="AE1236" s="34">
        <f>ROUND(IF(AQ1236="7",BI1236,0),2)</f>
        <v>0</v>
      </c>
      <c r="AF1236" s="34">
        <f>ROUND(IF(AQ1236="2",BH1236,0),2)</f>
        <v>0</v>
      </c>
      <c r="AG1236" s="34">
        <f>ROUND(IF(AQ1236="2",BI1236,0),2)</f>
        <v>0</v>
      </c>
      <c r="AH1236" s="34">
        <f>ROUND(IF(AQ1236="0",BJ1236,0),2)</f>
        <v>0</v>
      </c>
      <c r="AI1236" s="46" t="s">
        <v>91</v>
      </c>
      <c r="AJ1236" s="34">
        <f>IF(AN1236=0,I1236,0)</f>
        <v>0</v>
      </c>
      <c r="AK1236" s="34">
        <f>IF(AN1236=12,I1236,0)</f>
        <v>0</v>
      </c>
      <c r="AL1236" s="34">
        <f>IF(AN1236=21,I1236,0)</f>
        <v>0</v>
      </c>
      <c r="AN1236" s="34">
        <v>21</v>
      </c>
      <c r="AO1236" s="34">
        <f>H1236*0.707483731</f>
        <v>0</v>
      </c>
      <c r="AP1236" s="34">
        <f>H1236*(1-0.707483731)</f>
        <v>0</v>
      </c>
      <c r="AQ1236" s="65" t="s">
        <v>140</v>
      </c>
      <c r="AV1236" s="34">
        <f>ROUND(AW1236+AX1236,2)</f>
        <v>0</v>
      </c>
      <c r="AW1236" s="34">
        <f>ROUND(G1236*AO1236,2)</f>
        <v>0</v>
      </c>
      <c r="AX1236" s="34">
        <f>ROUND(G1236*AP1236,2)</f>
        <v>0</v>
      </c>
      <c r="AY1236" s="65" t="s">
        <v>2294</v>
      </c>
      <c r="AZ1236" s="65" t="s">
        <v>2257</v>
      </c>
      <c r="BA1236" s="46" t="s">
        <v>2258</v>
      </c>
      <c r="BC1236" s="34">
        <f>AW1236+AX1236</f>
        <v>0</v>
      </c>
      <c r="BD1236" s="34">
        <f>H1236/(100-BE1236)*100</f>
        <v>0</v>
      </c>
      <c r="BE1236" s="34">
        <v>0</v>
      </c>
      <c r="BF1236" s="34">
        <f>1236</f>
        <v>1236</v>
      </c>
      <c r="BH1236" s="34">
        <f>G1236*AO1236</f>
        <v>0</v>
      </c>
      <c r="BI1236" s="34">
        <f>G1236*AP1236</f>
        <v>0</v>
      </c>
      <c r="BJ1236" s="34">
        <f>G1236*H1236</f>
        <v>0</v>
      </c>
      <c r="BK1236" s="34"/>
      <c r="BL1236" s="34"/>
      <c r="BW1236" s="34">
        <v>21</v>
      </c>
      <c r="BX1236" s="3" t="s">
        <v>2337</v>
      </c>
    </row>
    <row r="1237" spans="1:76" ht="13.5" customHeight="1" x14ac:dyDescent="0.25">
      <c r="A1237" s="66"/>
      <c r="C1237" s="69" t="s">
        <v>204</v>
      </c>
      <c r="D1237" s="169" t="s">
        <v>2338</v>
      </c>
      <c r="E1237" s="170"/>
      <c r="F1237" s="170"/>
      <c r="G1237" s="170"/>
      <c r="H1237" s="171"/>
      <c r="I1237" s="170"/>
      <c r="J1237" s="170"/>
      <c r="K1237" s="172"/>
    </row>
    <row r="1238" spans="1:76" x14ac:dyDescent="0.25">
      <c r="A1238" s="66"/>
      <c r="D1238" s="67" t="s">
        <v>744</v>
      </c>
      <c r="E1238" s="67" t="s">
        <v>4</v>
      </c>
      <c r="G1238" s="68">
        <v>85</v>
      </c>
      <c r="K1238" s="59"/>
    </row>
    <row r="1239" spans="1:76" x14ac:dyDescent="0.25">
      <c r="A1239" s="1" t="s">
        <v>2339</v>
      </c>
      <c r="B1239" s="2" t="s">
        <v>91</v>
      </c>
      <c r="C1239" s="2" t="s">
        <v>2340</v>
      </c>
      <c r="D1239" s="86" t="s">
        <v>2341</v>
      </c>
      <c r="E1239" s="81"/>
      <c r="F1239" s="2" t="s">
        <v>239</v>
      </c>
      <c r="G1239" s="34">
        <v>164</v>
      </c>
      <c r="H1239" s="64">
        <v>0</v>
      </c>
      <c r="I1239" s="34">
        <f>ROUND(G1239*H1239,2)</f>
        <v>0</v>
      </c>
      <c r="J1239" s="65" t="s">
        <v>133</v>
      </c>
      <c r="K1239" s="59"/>
      <c r="Z1239" s="34">
        <f>ROUND(IF(AQ1239="5",BJ1239,0),2)</f>
        <v>0</v>
      </c>
      <c r="AB1239" s="34">
        <f>ROUND(IF(AQ1239="1",BH1239,0),2)</f>
        <v>0</v>
      </c>
      <c r="AC1239" s="34">
        <f>ROUND(IF(AQ1239="1",BI1239,0),2)</f>
        <v>0</v>
      </c>
      <c r="AD1239" s="34">
        <f>ROUND(IF(AQ1239="7",BH1239,0),2)</f>
        <v>0</v>
      </c>
      <c r="AE1239" s="34">
        <f>ROUND(IF(AQ1239="7",BI1239,0),2)</f>
        <v>0</v>
      </c>
      <c r="AF1239" s="34">
        <f>ROUND(IF(AQ1239="2",BH1239,0),2)</f>
        <v>0</v>
      </c>
      <c r="AG1239" s="34">
        <f>ROUND(IF(AQ1239="2",BI1239,0),2)</f>
        <v>0</v>
      </c>
      <c r="AH1239" s="34">
        <f>ROUND(IF(AQ1239="0",BJ1239,0),2)</f>
        <v>0</v>
      </c>
      <c r="AI1239" s="46" t="s">
        <v>91</v>
      </c>
      <c r="AJ1239" s="34">
        <f>IF(AN1239=0,I1239,0)</f>
        <v>0</v>
      </c>
      <c r="AK1239" s="34">
        <f>IF(AN1239=12,I1239,0)</f>
        <v>0</v>
      </c>
      <c r="AL1239" s="34">
        <f>IF(AN1239=21,I1239,0)</f>
        <v>0</v>
      </c>
      <c r="AN1239" s="34">
        <v>21</v>
      </c>
      <c r="AO1239" s="34">
        <f>H1239*0.502125076</f>
        <v>0</v>
      </c>
      <c r="AP1239" s="34">
        <f>H1239*(1-0.502125076)</f>
        <v>0</v>
      </c>
      <c r="AQ1239" s="65" t="s">
        <v>140</v>
      </c>
      <c r="AV1239" s="34">
        <f>ROUND(AW1239+AX1239,2)</f>
        <v>0</v>
      </c>
      <c r="AW1239" s="34">
        <f>ROUND(G1239*AO1239,2)</f>
        <v>0</v>
      </c>
      <c r="AX1239" s="34">
        <f>ROUND(G1239*AP1239,2)</f>
        <v>0</v>
      </c>
      <c r="AY1239" s="65" t="s">
        <v>2294</v>
      </c>
      <c r="AZ1239" s="65" t="s">
        <v>2257</v>
      </c>
      <c r="BA1239" s="46" t="s">
        <v>2258</v>
      </c>
      <c r="BC1239" s="34">
        <f>AW1239+AX1239</f>
        <v>0</v>
      </c>
      <c r="BD1239" s="34">
        <f>H1239/(100-BE1239)*100</f>
        <v>0</v>
      </c>
      <c r="BE1239" s="34">
        <v>0</v>
      </c>
      <c r="BF1239" s="34">
        <f>1239</f>
        <v>1239</v>
      </c>
      <c r="BH1239" s="34">
        <f>G1239*AO1239</f>
        <v>0</v>
      </c>
      <c r="BI1239" s="34">
        <f>G1239*AP1239</f>
        <v>0</v>
      </c>
      <c r="BJ1239" s="34">
        <f>G1239*H1239</f>
        <v>0</v>
      </c>
      <c r="BK1239" s="34"/>
      <c r="BL1239" s="34"/>
      <c r="BW1239" s="34">
        <v>21</v>
      </c>
      <c r="BX1239" s="3" t="s">
        <v>2341</v>
      </c>
    </row>
    <row r="1240" spans="1:76" ht="13.5" customHeight="1" x14ac:dyDescent="0.25">
      <c r="A1240" s="66"/>
      <c r="C1240" s="69" t="s">
        <v>204</v>
      </c>
      <c r="D1240" s="169" t="s">
        <v>2342</v>
      </c>
      <c r="E1240" s="170"/>
      <c r="F1240" s="170"/>
      <c r="G1240" s="170"/>
      <c r="H1240" s="171"/>
      <c r="I1240" s="170"/>
      <c r="J1240" s="170"/>
      <c r="K1240" s="172"/>
    </row>
    <row r="1241" spans="1:76" x14ac:dyDescent="0.25">
      <c r="A1241" s="66"/>
      <c r="D1241" s="67" t="s">
        <v>1163</v>
      </c>
      <c r="E1241" s="67" t="s">
        <v>4</v>
      </c>
      <c r="G1241" s="68">
        <v>164</v>
      </c>
      <c r="K1241" s="59"/>
    </row>
    <row r="1242" spans="1:76" ht="25.5" x14ac:dyDescent="0.25">
      <c r="A1242" s="1" t="s">
        <v>2343</v>
      </c>
      <c r="B1242" s="2" t="s">
        <v>91</v>
      </c>
      <c r="C1242" s="2" t="s">
        <v>2344</v>
      </c>
      <c r="D1242" s="86" t="s">
        <v>2345</v>
      </c>
      <c r="E1242" s="81"/>
      <c r="F1242" s="2" t="s">
        <v>1190</v>
      </c>
      <c r="G1242" s="34">
        <v>1</v>
      </c>
      <c r="H1242" s="64">
        <v>0</v>
      </c>
      <c r="I1242" s="34">
        <f>ROUND(G1242*H1242,2)</f>
        <v>0</v>
      </c>
      <c r="J1242" s="65" t="s">
        <v>133</v>
      </c>
      <c r="K1242" s="59"/>
      <c r="Z1242" s="34">
        <f>ROUND(IF(AQ1242="5",BJ1242,0),2)</f>
        <v>0</v>
      </c>
      <c r="AB1242" s="34">
        <f>ROUND(IF(AQ1242="1",BH1242,0),2)</f>
        <v>0</v>
      </c>
      <c r="AC1242" s="34">
        <f>ROUND(IF(AQ1242="1",BI1242,0),2)</f>
        <v>0</v>
      </c>
      <c r="AD1242" s="34">
        <f>ROUND(IF(AQ1242="7",BH1242,0),2)</f>
        <v>0</v>
      </c>
      <c r="AE1242" s="34">
        <f>ROUND(IF(AQ1242="7",BI1242,0),2)</f>
        <v>0</v>
      </c>
      <c r="AF1242" s="34">
        <f>ROUND(IF(AQ1242="2",BH1242,0),2)</f>
        <v>0</v>
      </c>
      <c r="AG1242" s="34">
        <f>ROUND(IF(AQ1242="2",BI1242,0),2)</f>
        <v>0</v>
      </c>
      <c r="AH1242" s="34">
        <f>ROUND(IF(AQ1242="0",BJ1242,0),2)</f>
        <v>0</v>
      </c>
      <c r="AI1242" s="46" t="s">
        <v>91</v>
      </c>
      <c r="AJ1242" s="34">
        <f>IF(AN1242=0,I1242,0)</f>
        <v>0</v>
      </c>
      <c r="AK1242" s="34">
        <f>IF(AN1242=12,I1242,0)</f>
        <v>0</v>
      </c>
      <c r="AL1242" s="34">
        <f>IF(AN1242=21,I1242,0)</f>
        <v>0</v>
      </c>
      <c r="AN1242" s="34">
        <v>21</v>
      </c>
      <c r="AO1242" s="34">
        <f>H1242*1</f>
        <v>0</v>
      </c>
      <c r="AP1242" s="34">
        <f>H1242*(1-1)</f>
        <v>0</v>
      </c>
      <c r="AQ1242" s="65" t="s">
        <v>140</v>
      </c>
      <c r="AV1242" s="34">
        <f>ROUND(AW1242+AX1242,2)</f>
        <v>0</v>
      </c>
      <c r="AW1242" s="34">
        <f>ROUND(G1242*AO1242,2)</f>
        <v>0</v>
      </c>
      <c r="AX1242" s="34">
        <f>ROUND(G1242*AP1242,2)</f>
        <v>0</v>
      </c>
      <c r="AY1242" s="65" t="s">
        <v>2294</v>
      </c>
      <c r="AZ1242" s="65" t="s">
        <v>2257</v>
      </c>
      <c r="BA1242" s="46" t="s">
        <v>2258</v>
      </c>
      <c r="BC1242" s="34">
        <f>AW1242+AX1242</f>
        <v>0</v>
      </c>
      <c r="BD1242" s="34">
        <f>H1242/(100-BE1242)*100</f>
        <v>0</v>
      </c>
      <c r="BE1242" s="34">
        <v>0</v>
      </c>
      <c r="BF1242" s="34">
        <f>1242</f>
        <v>1242</v>
      </c>
      <c r="BH1242" s="34">
        <f>G1242*AO1242</f>
        <v>0</v>
      </c>
      <c r="BI1242" s="34">
        <f>G1242*AP1242</f>
        <v>0</v>
      </c>
      <c r="BJ1242" s="34">
        <f>G1242*H1242</f>
        <v>0</v>
      </c>
      <c r="BK1242" s="34"/>
      <c r="BL1242" s="34"/>
      <c r="BW1242" s="34">
        <v>21</v>
      </c>
      <c r="BX1242" s="3" t="s">
        <v>2345</v>
      </c>
    </row>
    <row r="1243" spans="1:76" x14ac:dyDescent="0.25">
      <c r="A1243" s="66"/>
      <c r="D1243" s="67" t="s">
        <v>129</v>
      </c>
      <c r="E1243" s="67" t="s">
        <v>4</v>
      </c>
      <c r="G1243" s="68">
        <v>1</v>
      </c>
      <c r="K1243" s="59"/>
    </row>
    <row r="1244" spans="1:76" x14ac:dyDescent="0.25">
      <c r="A1244" s="1" t="s">
        <v>2346</v>
      </c>
      <c r="B1244" s="2" t="s">
        <v>91</v>
      </c>
      <c r="C1244" s="2" t="s">
        <v>2347</v>
      </c>
      <c r="D1244" s="86" t="s">
        <v>2348</v>
      </c>
      <c r="E1244" s="81"/>
      <c r="F1244" s="2" t="s">
        <v>239</v>
      </c>
      <c r="G1244" s="34">
        <v>72</v>
      </c>
      <c r="H1244" s="64">
        <v>0</v>
      </c>
      <c r="I1244" s="34">
        <f>ROUND(G1244*H1244,2)</f>
        <v>0</v>
      </c>
      <c r="J1244" s="65" t="s">
        <v>133</v>
      </c>
      <c r="K1244" s="59"/>
      <c r="Z1244" s="34">
        <f>ROUND(IF(AQ1244="5",BJ1244,0),2)</f>
        <v>0</v>
      </c>
      <c r="AB1244" s="34">
        <f>ROUND(IF(AQ1244="1",BH1244,0),2)</f>
        <v>0</v>
      </c>
      <c r="AC1244" s="34">
        <f>ROUND(IF(AQ1244="1",BI1244,0),2)</f>
        <v>0</v>
      </c>
      <c r="AD1244" s="34">
        <f>ROUND(IF(AQ1244="7",BH1244,0),2)</f>
        <v>0</v>
      </c>
      <c r="AE1244" s="34">
        <f>ROUND(IF(AQ1244="7",BI1244,0),2)</f>
        <v>0</v>
      </c>
      <c r="AF1244" s="34">
        <f>ROUND(IF(AQ1244="2",BH1244,0),2)</f>
        <v>0</v>
      </c>
      <c r="AG1244" s="34">
        <f>ROUND(IF(AQ1244="2",BI1244,0),2)</f>
        <v>0</v>
      </c>
      <c r="AH1244" s="34">
        <f>ROUND(IF(AQ1244="0",BJ1244,0),2)</f>
        <v>0</v>
      </c>
      <c r="AI1244" s="46" t="s">
        <v>91</v>
      </c>
      <c r="AJ1244" s="34">
        <f>IF(AN1244=0,I1244,0)</f>
        <v>0</v>
      </c>
      <c r="AK1244" s="34">
        <f>IF(AN1244=12,I1244,0)</f>
        <v>0</v>
      </c>
      <c r="AL1244" s="34">
        <f>IF(AN1244=21,I1244,0)</f>
        <v>0</v>
      </c>
      <c r="AN1244" s="34">
        <v>21</v>
      </c>
      <c r="AO1244" s="34">
        <f>H1244*1</f>
        <v>0</v>
      </c>
      <c r="AP1244" s="34">
        <f>H1244*(1-1)</f>
        <v>0</v>
      </c>
      <c r="AQ1244" s="65" t="s">
        <v>140</v>
      </c>
      <c r="AV1244" s="34">
        <f>ROUND(AW1244+AX1244,2)</f>
        <v>0</v>
      </c>
      <c r="AW1244" s="34">
        <f>ROUND(G1244*AO1244,2)</f>
        <v>0</v>
      </c>
      <c r="AX1244" s="34">
        <f>ROUND(G1244*AP1244,2)</f>
        <v>0</v>
      </c>
      <c r="AY1244" s="65" t="s">
        <v>2294</v>
      </c>
      <c r="AZ1244" s="65" t="s">
        <v>2257</v>
      </c>
      <c r="BA1244" s="46" t="s">
        <v>2258</v>
      </c>
      <c r="BC1244" s="34">
        <f>AW1244+AX1244</f>
        <v>0</v>
      </c>
      <c r="BD1244" s="34">
        <f>H1244/(100-BE1244)*100</f>
        <v>0</v>
      </c>
      <c r="BE1244" s="34">
        <v>0</v>
      </c>
      <c r="BF1244" s="34">
        <f>1244</f>
        <v>1244</v>
      </c>
      <c r="BH1244" s="34">
        <f>G1244*AO1244</f>
        <v>0</v>
      </c>
      <c r="BI1244" s="34">
        <f>G1244*AP1244</f>
        <v>0</v>
      </c>
      <c r="BJ1244" s="34">
        <f>G1244*H1244</f>
        <v>0</v>
      </c>
      <c r="BK1244" s="34"/>
      <c r="BL1244" s="34"/>
      <c r="BW1244" s="34">
        <v>21</v>
      </c>
      <c r="BX1244" s="3" t="s">
        <v>2348</v>
      </c>
    </row>
    <row r="1245" spans="1:76" x14ac:dyDescent="0.25">
      <c r="A1245" s="66"/>
      <c r="D1245" s="67" t="s">
        <v>647</v>
      </c>
      <c r="E1245" s="67" t="s">
        <v>4</v>
      </c>
      <c r="G1245" s="68">
        <v>72</v>
      </c>
      <c r="K1245" s="59"/>
    </row>
    <row r="1246" spans="1:76" x14ac:dyDescent="0.25">
      <c r="A1246" s="1" t="s">
        <v>2349</v>
      </c>
      <c r="B1246" s="2" t="s">
        <v>91</v>
      </c>
      <c r="C1246" s="2" t="s">
        <v>2350</v>
      </c>
      <c r="D1246" s="86" t="s">
        <v>2351</v>
      </c>
      <c r="E1246" s="81"/>
      <c r="F1246" s="2" t="s">
        <v>239</v>
      </c>
      <c r="G1246" s="34">
        <v>160</v>
      </c>
      <c r="H1246" s="64">
        <v>0</v>
      </c>
      <c r="I1246" s="34">
        <f>ROUND(G1246*H1246,2)</f>
        <v>0</v>
      </c>
      <c r="J1246" s="65" t="s">
        <v>133</v>
      </c>
      <c r="K1246" s="59"/>
      <c r="Z1246" s="34">
        <f>ROUND(IF(AQ1246="5",BJ1246,0),2)</f>
        <v>0</v>
      </c>
      <c r="AB1246" s="34">
        <f>ROUND(IF(AQ1246="1",BH1246,0),2)</f>
        <v>0</v>
      </c>
      <c r="AC1246" s="34">
        <f>ROUND(IF(AQ1246="1",BI1246,0),2)</f>
        <v>0</v>
      </c>
      <c r="AD1246" s="34">
        <f>ROUND(IF(AQ1246="7",BH1246,0),2)</f>
        <v>0</v>
      </c>
      <c r="AE1246" s="34">
        <f>ROUND(IF(AQ1246="7",BI1246,0),2)</f>
        <v>0</v>
      </c>
      <c r="AF1246" s="34">
        <f>ROUND(IF(AQ1246="2",BH1246,0),2)</f>
        <v>0</v>
      </c>
      <c r="AG1246" s="34">
        <f>ROUND(IF(AQ1246="2",BI1246,0),2)</f>
        <v>0</v>
      </c>
      <c r="AH1246" s="34">
        <f>ROUND(IF(AQ1246="0",BJ1246,0),2)</f>
        <v>0</v>
      </c>
      <c r="AI1246" s="46" t="s">
        <v>91</v>
      </c>
      <c r="AJ1246" s="34">
        <f>IF(AN1246=0,I1246,0)</f>
        <v>0</v>
      </c>
      <c r="AK1246" s="34">
        <f>IF(AN1246=12,I1246,0)</f>
        <v>0</v>
      </c>
      <c r="AL1246" s="34">
        <f>IF(AN1246=21,I1246,0)</f>
        <v>0</v>
      </c>
      <c r="AN1246" s="34">
        <v>21</v>
      </c>
      <c r="AO1246" s="34">
        <f>H1246*0</f>
        <v>0</v>
      </c>
      <c r="AP1246" s="34">
        <f>H1246*(1-0)</f>
        <v>0</v>
      </c>
      <c r="AQ1246" s="65" t="s">
        <v>140</v>
      </c>
      <c r="AV1246" s="34">
        <f>ROUND(AW1246+AX1246,2)</f>
        <v>0</v>
      </c>
      <c r="AW1246" s="34">
        <f>ROUND(G1246*AO1246,2)</f>
        <v>0</v>
      </c>
      <c r="AX1246" s="34">
        <f>ROUND(G1246*AP1246,2)</f>
        <v>0</v>
      </c>
      <c r="AY1246" s="65" t="s">
        <v>2294</v>
      </c>
      <c r="AZ1246" s="65" t="s">
        <v>2257</v>
      </c>
      <c r="BA1246" s="46" t="s">
        <v>2258</v>
      </c>
      <c r="BC1246" s="34">
        <f>AW1246+AX1246</f>
        <v>0</v>
      </c>
      <c r="BD1246" s="34">
        <f>H1246/(100-BE1246)*100</f>
        <v>0</v>
      </c>
      <c r="BE1246" s="34">
        <v>0</v>
      </c>
      <c r="BF1246" s="34">
        <f>1246</f>
        <v>1246</v>
      </c>
      <c r="BH1246" s="34">
        <f>G1246*AO1246</f>
        <v>0</v>
      </c>
      <c r="BI1246" s="34">
        <f>G1246*AP1246</f>
        <v>0</v>
      </c>
      <c r="BJ1246" s="34">
        <f>G1246*H1246</f>
        <v>0</v>
      </c>
      <c r="BK1246" s="34"/>
      <c r="BL1246" s="34"/>
      <c r="BW1246" s="34">
        <v>21</v>
      </c>
      <c r="BX1246" s="3" t="s">
        <v>2351</v>
      </c>
    </row>
    <row r="1247" spans="1:76" x14ac:dyDescent="0.25">
      <c r="A1247" s="66"/>
      <c r="D1247" s="67" t="s">
        <v>854</v>
      </c>
      <c r="E1247" s="67" t="s">
        <v>4</v>
      </c>
      <c r="G1247" s="68">
        <v>160</v>
      </c>
      <c r="K1247" s="59"/>
    </row>
    <row r="1248" spans="1:76" x14ac:dyDescent="0.25">
      <c r="A1248" s="1" t="s">
        <v>2352</v>
      </c>
      <c r="B1248" s="2" t="s">
        <v>91</v>
      </c>
      <c r="C1248" s="2" t="s">
        <v>2353</v>
      </c>
      <c r="D1248" s="86" t="s">
        <v>2354</v>
      </c>
      <c r="E1248" s="81"/>
      <c r="F1248" s="2" t="s">
        <v>239</v>
      </c>
      <c r="G1248" s="34">
        <v>121</v>
      </c>
      <c r="H1248" s="64">
        <v>0</v>
      </c>
      <c r="I1248" s="34">
        <f>ROUND(G1248*H1248,2)</f>
        <v>0</v>
      </c>
      <c r="J1248" s="65" t="s">
        <v>133</v>
      </c>
      <c r="K1248" s="59"/>
      <c r="Z1248" s="34">
        <f>ROUND(IF(AQ1248="5",BJ1248,0),2)</f>
        <v>0</v>
      </c>
      <c r="AB1248" s="34">
        <f>ROUND(IF(AQ1248="1",BH1248,0),2)</f>
        <v>0</v>
      </c>
      <c r="AC1248" s="34">
        <f>ROUND(IF(AQ1248="1",BI1248,0),2)</f>
        <v>0</v>
      </c>
      <c r="AD1248" s="34">
        <f>ROUND(IF(AQ1248="7",BH1248,0),2)</f>
        <v>0</v>
      </c>
      <c r="AE1248" s="34">
        <f>ROUND(IF(AQ1248="7",BI1248,0),2)</f>
        <v>0</v>
      </c>
      <c r="AF1248" s="34">
        <f>ROUND(IF(AQ1248="2",BH1248,0),2)</f>
        <v>0</v>
      </c>
      <c r="AG1248" s="34">
        <f>ROUND(IF(AQ1248="2",BI1248,0),2)</f>
        <v>0</v>
      </c>
      <c r="AH1248" s="34">
        <f>ROUND(IF(AQ1248="0",BJ1248,0),2)</f>
        <v>0</v>
      </c>
      <c r="AI1248" s="46" t="s">
        <v>91</v>
      </c>
      <c r="AJ1248" s="34">
        <f>IF(AN1248=0,I1248,0)</f>
        <v>0</v>
      </c>
      <c r="AK1248" s="34">
        <f>IF(AN1248=12,I1248,0)</f>
        <v>0</v>
      </c>
      <c r="AL1248" s="34">
        <f>IF(AN1248=21,I1248,0)</f>
        <v>0</v>
      </c>
      <c r="AN1248" s="34">
        <v>21</v>
      </c>
      <c r="AO1248" s="34">
        <f>H1248*1</f>
        <v>0</v>
      </c>
      <c r="AP1248" s="34">
        <f>H1248*(1-1)</f>
        <v>0</v>
      </c>
      <c r="AQ1248" s="65" t="s">
        <v>140</v>
      </c>
      <c r="AV1248" s="34">
        <f>ROUND(AW1248+AX1248,2)</f>
        <v>0</v>
      </c>
      <c r="AW1248" s="34">
        <f>ROUND(G1248*AO1248,2)</f>
        <v>0</v>
      </c>
      <c r="AX1248" s="34">
        <f>ROUND(G1248*AP1248,2)</f>
        <v>0</v>
      </c>
      <c r="AY1248" s="65" t="s">
        <v>2294</v>
      </c>
      <c r="AZ1248" s="65" t="s">
        <v>2257</v>
      </c>
      <c r="BA1248" s="46" t="s">
        <v>2258</v>
      </c>
      <c r="BC1248" s="34">
        <f>AW1248+AX1248</f>
        <v>0</v>
      </c>
      <c r="BD1248" s="34">
        <f>H1248/(100-BE1248)*100</f>
        <v>0</v>
      </c>
      <c r="BE1248" s="34">
        <v>0</v>
      </c>
      <c r="BF1248" s="34">
        <f>1248</f>
        <v>1248</v>
      </c>
      <c r="BH1248" s="34">
        <f>G1248*AO1248</f>
        <v>0</v>
      </c>
      <c r="BI1248" s="34">
        <f>G1248*AP1248</f>
        <v>0</v>
      </c>
      <c r="BJ1248" s="34">
        <f>G1248*H1248</f>
        <v>0</v>
      </c>
      <c r="BK1248" s="34"/>
      <c r="BL1248" s="34"/>
      <c r="BW1248" s="34">
        <v>21</v>
      </c>
      <c r="BX1248" s="3" t="s">
        <v>2354</v>
      </c>
    </row>
    <row r="1249" spans="1:76" x14ac:dyDescent="0.25">
      <c r="A1249" s="66"/>
      <c r="D1249" s="67" t="s">
        <v>954</v>
      </c>
      <c r="E1249" s="67" t="s">
        <v>4</v>
      </c>
      <c r="G1249" s="68">
        <v>121</v>
      </c>
      <c r="K1249" s="59"/>
    </row>
    <row r="1250" spans="1:76" ht="25.5" x14ac:dyDescent="0.25">
      <c r="A1250" s="1" t="s">
        <v>2355</v>
      </c>
      <c r="B1250" s="2" t="s">
        <v>91</v>
      </c>
      <c r="C1250" s="2" t="s">
        <v>2356</v>
      </c>
      <c r="D1250" s="86" t="s">
        <v>2357</v>
      </c>
      <c r="E1250" s="81"/>
      <c r="F1250" s="2" t="s">
        <v>1190</v>
      </c>
      <c r="G1250" s="34">
        <v>1</v>
      </c>
      <c r="H1250" s="64">
        <v>0</v>
      </c>
      <c r="I1250" s="34">
        <f>ROUND(G1250*H1250,2)</f>
        <v>0</v>
      </c>
      <c r="J1250" s="65" t="s">
        <v>133</v>
      </c>
      <c r="K1250" s="59"/>
      <c r="Z1250" s="34">
        <f>ROUND(IF(AQ1250="5",BJ1250,0),2)</f>
        <v>0</v>
      </c>
      <c r="AB1250" s="34">
        <f>ROUND(IF(AQ1250="1",BH1250,0),2)</f>
        <v>0</v>
      </c>
      <c r="AC1250" s="34">
        <f>ROUND(IF(AQ1250="1",BI1250,0),2)</f>
        <v>0</v>
      </c>
      <c r="AD1250" s="34">
        <f>ROUND(IF(AQ1250="7",BH1250,0),2)</f>
        <v>0</v>
      </c>
      <c r="AE1250" s="34">
        <f>ROUND(IF(AQ1250="7",BI1250,0),2)</f>
        <v>0</v>
      </c>
      <c r="AF1250" s="34">
        <f>ROUND(IF(AQ1250="2",BH1250,0),2)</f>
        <v>0</v>
      </c>
      <c r="AG1250" s="34">
        <f>ROUND(IF(AQ1250="2",BI1250,0),2)</f>
        <v>0</v>
      </c>
      <c r="AH1250" s="34">
        <f>ROUND(IF(AQ1250="0",BJ1250,0),2)</f>
        <v>0</v>
      </c>
      <c r="AI1250" s="46" t="s">
        <v>91</v>
      </c>
      <c r="AJ1250" s="34">
        <f>IF(AN1250=0,I1250,0)</f>
        <v>0</v>
      </c>
      <c r="AK1250" s="34">
        <f>IF(AN1250=12,I1250,0)</f>
        <v>0</v>
      </c>
      <c r="AL1250" s="34">
        <f>IF(AN1250=21,I1250,0)</f>
        <v>0</v>
      </c>
      <c r="AN1250" s="34">
        <v>21</v>
      </c>
      <c r="AO1250" s="34">
        <f>H1250*1</f>
        <v>0</v>
      </c>
      <c r="AP1250" s="34">
        <f>H1250*(1-1)</f>
        <v>0</v>
      </c>
      <c r="AQ1250" s="65" t="s">
        <v>140</v>
      </c>
      <c r="AV1250" s="34">
        <f>ROUND(AW1250+AX1250,2)</f>
        <v>0</v>
      </c>
      <c r="AW1250" s="34">
        <f>ROUND(G1250*AO1250,2)</f>
        <v>0</v>
      </c>
      <c r="AX1250" s="34">
        <f>ROUND(G1250*AP1250,2)</f>
        <v>0</v>
      </c>
      <c r="AY1250" s="65" t="s">
        <v>2294</v>
      </c>
      <c r="AZ1250" s="65" t="s">
        <v>2257</v>
      </c>
      <c r="BA1250" s="46" t="s">
        <v>2258</v>
      </c>
      <c r="BC1250" s="34">
        <f>AW1250+AX1250</f>
        <v>0</v>
      </c>
      <c r="BD1250" s="34">
        <f>H1250/(100-BE1250)*100</f>
        <v>0</v>
      </c>
      <c r="BE1250" s="34">
        <v>0</v>
      </c>
      <c r="BF1250" s="34">
        <f>1250</f>
        <v>1250</v>
      </c>
      <c r="BH1250" s="34">
        <f>G1250*AO1250</f>
        <v>0</v>
      </c>
      <c r="BI1250" s="34">
        <f>G1250*AP1250</f>
        <v>0</v>
      </c>
      <c r="BJ1250" s="34">
        <f>G1250*H1250</f>
        <v>0</v>
      </c>
      <c r="BK1250" s="34"/>
      <c r="BL1250" s="34"/>
      <c r="BW1250" s="34">
        <v>21</v>
      </c>
      <c r="BX1250" s="3" t="s">
        <v>2357</v>
      </c>
    </row>
    <row r="1251" spans="1:76" x14ac:dyDescent="0.25">
      <c r="A1251" s="66"/>
      <c r="D1251" s="67" t="s">
        <v>129</v>
      </c>
      <c r="E1251" s="67" t="s">
        <v>4</v>
      </c>
      <c r="G1251" s="68">
        <v>1</v>
      </c>
      <c r="K1251" s="59"/>
    </row>
    <row r="1252" spans="1:76" x14ac:dyDescent="0.25">
      <c r="A1252" s="1" t="s">
        <v>2358</v>
      </c>
      <c r="B1252" s="2" t="s">
        <v>91</v>
      </c>
      <c r="C1252" s="2" t="s">
        <v>2359</v>
      </c>
      <c r="D1252" s="86" t="s">
        <v>2360</v>
      </c>
      <c r="E1252" s="81"/>
      <c r="F1252" s="2" t="s">
        <v>1190</v>
      </c>
      <c r="G1252" s="34">
        <v>121</v>
      </c>
      <c r="H1252" s="64">
        <v>0</v>
      </c>
      <c r="I1252" s="34">
        <f>ROUND(G1252*H1252,2)</f>
        <v>0</v>
      </c>
      <c r="J1252" s="65" t="s">
        <v>133</v>
      </c>
      <c r="K1252" s="59"/>
      <c r="Z1252" s="34">
        <f>ROUND(IF(AQ1252="5",BJ1252,0),2)</f>
        <v>0</v>
      </c>
      <c r="AB1252" s="34">
        <f>ROUND(IF(AQ1252="1",BH1252,0),2)</f>
        <v>0</v>
      </c>
      <c r="AC1252" s="34">
        <f>ROUND(IF(AQ1252="1",BI1252,0),2)</f>
        <v>0</v>
      </c>
      <c r="AD1252" s="34">
        <f>ROUND(IF(AQ1252="7",BH1252,0),2)</f>
        <v>0</v>
      </c>
      <c r="AE1252" s="34">
        <f>ROUND(IF(AQ1252="7",BI1252,0),2)</f>
        <v>0</v>
      </c>
      <c r="AF1252" s="34">
        <f>ROUND(IF(AQ1252="2",BH1252,0),2)</f>
        <v>0</v>
      </c>
      <c r="AG1252" s="34">
        <f>ROUND(IF(AQ1252="2",BI1252,0),2)</f>
        <v>0</v>
      </c>
      <c r="AH1252" s="34">
        <f>ROUND(IF(AQ1252="0",BJ1252,0),2)</f>
        <v>0</v>
      </c>
      <c r="AI1252" s="46" t="s">
        <v>91</v>
      </c>
      <c r="AJ1252" s="34">
        <f>IF(AN1252=0,I1252,0)</f>
        <v>0</v>
      </c>
      <c r="AK1252" s="34">
        <f>IF(AN1252=12,I1252,0)</f>
        <v>0</v>
      </c>
      <c r="AL1252" s="34">
        <f>IF(AN1252=21,I1252,0)</f>
        <v>0</v>
      </c>
      <c r="AN1252" s="34">
        <v>21</v>
      </c>
      <c r="AO1252" s="34">
        <f>H1252*1</f>
        <v>0</v>
      </c>
      <c r="AP1252" s="34">
        <f>H1252*(1-1)</f>
        <v>0</v>
      </c>
      <c r="AQ1252" s="65" t="s">
        <v>140</v>
      </c>
      <c r="AV1252" s="34">
        <f>ROUND(AW1252+AX1252,2)</f>
        <v>0</v>
      </c>
      <c r="AW1252" s="34">
        <f>ROUND(G1252*AO1252,2)</f>
        <v>0</v>
      </c>
      <c r="AX1252" s="34">
        <f>ROUND(G1252*AP1252,2)</f>
        <v>0</v>
      </c>
      <c r="AY1252" s="65" t="s">
        <v>2294</v>
      </c>
      <c r="AZ1252" s="65" t="s">
        <v>2257</v>
      </c>
      <c r="BA1252" s="46" t="s">
        <v>2258</v>
      </c>
      <c r="BC1252" s="34">
        <f>AW1252+AX1252</f>
        <v>0</v>
      </c>
      <c r="BD1252" s="34">
        <f>H1252/(100-BE1252)*100</f>
        <v>0</v>
      </c>
      <c r="BE1252" s="34">
        <v>0</v>
      </c>
      <c r="BF1252" s="34">
        <f>1252</f>
        <v>1252</v>
      </c>
      <c r="BH1252" s="34">
        <f>G1252*AO1252</f>
        <v>0</v>
      </c>
      <c r="BI1252" s="34">
        <f>G1252*AP1252</f>
        <v>0</v>
      </c>
      <c r="BJ1252" s="34">
        <f>G1252*H1252</f>
        <v>0</v>
      </c>
      <c r="BK1252" s="34"/>
      <c r="BL1252" s="34"/>
      <c r="BW1252" s="34">
        <v>21</v>
      </c>
      <c r="BX1252" s="3" t="s">
        <v>2360</v>
      </c>
    </row>
    <row r="1253" spans="1:76" x14ac:dyDescent="0.25">
      <c r="A1253" s="66"/>
      <c r="D1253" s="67" t="s">
        <v>954</v>
      </c>
      <c r="E1253" s="67" t="s">
        <v>4</v>
      </c>
      <c r="G1253" s="68">
        <v>121</v>
      </c>
      <c r="K1253" s="59"/>
    </row>
    <row r="1254" spans="1:76" x14ac:dyDescent="0.25">
      <c r="A1254" s="1" t="s">
        <v>2361</v>
      </c>
      <c r="B1254" s="2" t="s">
        <v>91</v>
      </c>
      <c r="C1254" s="2" t="s">
        <v>2362</v>
      </c>
      <c r="D1254" s="86" t="s">
        <v>2363</v>
      </c>
      <c r="E1254" s="81"/>
      <c r="F1254" s="2" t="s">
        <v>239</v>
      </c>
      <c r="G1254" s="34">
        <v>200</v>
      </c>
      <c r="H1254" s="64">
        <v>0</v>
      </c>
      <c r="I1254" s="34">
        <f>ROUND(G1254*H1254,2)</f>
        <v>0</v>
      </c>
      <c r="J1254" s="65" t="s">
        <v>133</v>
      </c>
      <c r="K1254" s="59"/>
      <c r="Z1254" s="34">
        <f>ROUND(IF(AQ1254="5",BJ1254,0),2)</f>
        <v>0</v>
      </c>
      <c r="AB1254" s="34">
        <f>ROUND(IF(AQ1254="1",BH1254,0),2)</f>
        <v>0</v>
      </c>
      <c r="AC1254" s="34">
        <f>ROUND(IF(AQ1254="1",BI1254,0),2)</f>
        <v>0</v>
      </c>
      <c r="AD1254" s="34">
        <f>ROUND(IF(AQ1254="7",BH1254,0),2)</f>
        <v>0</v>
      </c>
      <c r="AE1254" s="34">
        <f>ROUND(IF(AQ1254="7",BI1254,0),2)</f>
        <v>0</v>
      </c>
      <c r="AF1254" s="34">
        <f>ROUND(IF(AQ1254="2",BH1254,0),2)</f>
        <v>0</v>
      </c>
      <c r="AG1254" s="34">
        <f>ROUND(IF(AQ1254="2",BI1254,0),2)</f>
        <v>0</v>
      </c>
      <c r="AH1254" s="34">
        <f>ROUND(IF(AQ1254="0",BJ1254,0),2)</f>
        <v>0</v>
      </c>
      <c r="AI1254" s="46" t="s">
        <v>91</v>
      </c>
      <c r="AJ1254" s="34">
        <f>IF(AN1254=0,I1254,0)</f>
        <v>0</v>
      </c>
      <c r="AK1254" s="34">
        <f>IF(AN1254=12,I1254,0)</f>
        <v>0</v>
      </c>
      <c r="AL1254" s="34">
        <f>IF(AN1254=21,I1254,0)</f>
        <v>0</v>
      </c>
      <c r="AN1254" s="34">
        <v>21</v>
      </c>
      <c r="AO1254" s="34">
        <f>H1254*0.088636364</f>
        <v>0</v>
      </c>
      <c r="AP1254" s="34">
        <f>H1254*(1-0.088636364)</f>
        <v>0</v>
      </c>
      <c r="AQ1254" s="65" t="s">
        <v>140</v>
      </c>
      <c r="AV1254" s="34">
        <f>ROUND(AW1254+AX1254,2)</f>
        <v>0</v>
      </c>
      <c r="AW1254" s="34">
        <f>ROUND(G1254*AO1254,2)</f>
        <v>0</v>
      </c>
      <c r="AX1254" s="34">
        <f>ROUND(G1254*AP1254,2)</f>
        <v>0</v>
      </c>
      <c r="AY1254" s="65" t="s">
        <v>2294</v>
      </c>
      <c r="AZ1254" s="65" t="s">
        <v>2257</v>
      </c>
      <c r="BA1254" s="46" t="s">
        <v>2258</v>
      </c>
      <c r="BC1254" s="34">
        <f>AW1254+AX1254</f>
        <v>0</v>
      </c>
      <c r="BD1254" s="34">
        <f>H1254/(100-BE1254)*100</f>
        <v>0</v>
      </c>
      <c r="BE1254" s="34">
        <v>0</v>
      </c>
      <c r="BF1254" s="34">
        <f>1254</f>
        <v>1254</v>
      </c>
      <c r="BH1254" s="34">
        <f>G1254*AO1254</f>
        <v>0</v>
      </c>
      <c r="BI1254" s="34">
        <f>G1254*AP1254</f>
        <v>0</v>
      </c>
      <c r="BJ1254" s="34">
        <f>G1254*H1254</f>
        <v>0</v>
      </c>
      <c r="BK1254" s="34"/>
      <c r="BL1254" s="34"/>
      <c r="BW1254" s="34">
        <v>21</v>
      </c>
      <c r="BX1254" s="3" t="s">
        <v>2363</v>
      </c>
    </row>
    <row r="1255" spans="1:76" x14ac:dyDescent="0.25">
      <c r="A1255" s="66"/>
      <c r="D1255" s="67" t="s">
        <v>1317</v>
      </c>
      <c r="E1255" s="67" t="s">
        <v>4</v>
      </c>
      <c r="G1255" s="68">
        <v>200</v>
      </c>
      <c r="K1255" s="59"/>
    </row>
    <row r="1256" spans="1:76" x14ac:dyDescent="0.25">
      <c r="A1256" s="1" t="s">
        <v>2364</v>
      </c>
      <c r="B1256" s="2" t="s">
        <v>91</v>
      </c>
      <c r="C1256" s="2" t="s">
        <v>2365</v>
      </c>
      <c r="D1256" s="86" t="s">
        <v>2366</v>
      </c>
      <c r="E1256" s="81"/>
      <c r="F1256" s="2" t="s">
        <v>239</v>
      </c>
      <c r="G1256" s="34">
        <v>200</v>
      </c>
      <c r="H1256" s="64">
        <v>0</v>
      </c>
      <c r="I1256" s="34">
        <f>ROUND(G1256*H1256,2)</f>
        <v>0</v>
      </c>
      <c r="J1256" s="65" t="s">
        <v>133</v>
      </c>
      <c r="K1256" s="59"/>
      <c r="Z1256" s="34">
        <f>ROUND(IF(AQ1256="5",BJ1256,0),2)</f>
        <v>0</v>
      </c>
      <c r="AB1256" s="34">
        <f>ROUND(IF(AQ1256="1",BH1256,0),2)</f>
        <v>0</v>
      </c>
      <c r="AC1256" s="34">
        <f>ROUND(IF(AQ1256="1",BI1256,0),2)</f>
        <v>0</v>
      </c>
      <c r="AD1256" s="34">
        <f>ROUND(IF(AQ1256="7",BH1256,0),2)</f>
        <v>0</v>
      </c>
      <c r="AE1256" s="34">
        <f>ROUND(IF(AQ1256="7",BI1256,0),2)</f>
        <v>0</v>
      </c>
      <c r="AF1256" s="34">
        <f>ROUND(IF(AQ1256="2",BH1256,0),2)</f>
        <v>0</v>
      </c>
      <c r="AG1256" s="34">
        <f>ROUND(IF(AQ1256="2",BI1256,0),2)</f>
        <v>0</v>
      </c>
      <c r="AH1256" s="34">
        <f>ROUND(IF(AQ1256="0",BJ1256,0),2)</f>
        <v>0</v>
      </c>
      <c r="AI1256" s="46" t="s">
        <v>91</v>
      </c>
      <c r="AJ1256" s="34">
        <f>IF(AN1256=0,I1256,0)</f>
        <v>0</v>
      </c>
      <c r="AK1256" s="34">
        <f>IF(AN1256=12,I1256,0)</f>
        <v>0</v>
      </c>
      <c r="AL1256" s="34">
        <f>IF(AN1256=21,I1256,0)</f>
        <v>0</v>
      </c>
      <c r="AN1256" s="34">
        <v>21</v>
      </c>
      <c r="AO1256" s="34">
        <f>H1256*0.22574029</f>
        <v>0</v>
      </c>
      <c r="AP1256" s="34">
        <f>H1256*(1-0.22574029)</f>
        <v>0</v>
      </c>
      <c r="AQ1256" s="65" t="s">
        <v>140</v>
      </c>
      <c r="AV1256" s="34">
        <f>ROUND(AW1256+AX1256,2)</f>
        <v>0</v>
      </c>
      <c r="AW1256" s="34">
        <f>ROUND(G1256*AO1256,2)</f>
        <v>0</v>
      </c>
      <c r="AX1256" s="34">
        <f>ROUND(G1256*AP1256,2)</f>
        <v>0</v>
      </c>
      <c r="AY1256" s="65" t="s">
        <v>2294</v>
      </c>
      <c r="AZ1256" s="65" t="s">
        <v>2257</v>
      </c>
      <c r="BA1256" s="46" t="s">
        <v>2258</v>
      </c>
      <c r="BC1256" s="34">
        <f>AW1256+AX1256</f>
        <v>0</v>
      </c>
      <c r="BD1256" s="34">
        <f>H1256/(100-BE1256)*100</f>
        <v>0</v>
      </c>
      <c r="BE1256" s="34">
        <v>0</v>
      </c>
      <c r="BF1256" s="34">
        <f>1256</f>
        <v>1256</v>
      </c>
      <c r="BH1256" s="34">
        <f>G1256*AO1256</f>
        <v>0</v>
      </c>
      <c r="BI1256" s="34">
        <f>G1256*AP1256</f>
        <v>0</v>
      </c>
      <c r="BJ1256" s="34">
        <f>G1256*H1256</f>
        <v>0</v>
      </c>
      <c r="BK1256" s="34"/>
      <c r="BL1256" s="34"/>
      <c r="BW1256" s="34">
        <v>21</v>
      </c>
      <c r="BX1256" s="3" t="s">
        <v>2366</v>
      </c>
    </row>
    <row r="1257" spans="1:76" x14ac:dyDescent="0.25">
      <c r="A1257" s="66"/>
      <c r="D1257" s="67" t="s">
        <v>1317</v>
      </c>
      <c r="E1257" s="67" t="s">
        <v>4</v>
      </c>
      <c r="G1257" s="68">
        <v>200</v>
      </c>
      <c r="K1257" s="59"/>
    </row>
    <row r="1258" spans="1:76" x14ac:dyDescent="0.25">
      <c r="A1258" s="1" t="s">
        <v>2367</v>
      </c>
      <c r="B1258" s="2" t="s">
        <v>91</v>
      </c>
      <c r="C1258" s="2" t="s">
        <v>2368</v>
      </c>
      <c r="D1258" s="86" t="s">
        <v>2369</v>
      </c>
      <c r="E1258" s="81"/>
      <c r="F1258" s="2" t="s">
        <v>1190</v>
      </c>
      <c r="G1258" s="34">
        <v>1</v>
      </c>
      <c r="H1258" s="64">
        <v>0</v>
      </c>
      <c r="I1258" s="34">
        <f>ROUND(G1258*H1258,2)</f>
        <v>0</v>
      </c>
      <c r="J1258" s="65" t="s">
        <v>133</v>
      </c>
      <c r="K1258" s="59"/>
      <c r="Z1258" s="34">
        <f>ROUND(IF(AQ1258="5",BJ1258,0),2)</f>
        <v>0</v>
      </c>
      <c r="AB1258" s="34">
        <f>ROUND(IF(AQ1258="1",BH1258,0),2)</f>
        <v>0</v>
      </c>
      <c r="AC1258" s="34">
        <f>ROUND(IF(AQ1258="1",BI1258,0),2)</f>
        <v>0</v>
      </c>
      <c r="AD1258" s="34">
        <f>ROUND(IF(AQ1258="7",BH1258,0),2)</f>
        <v>0</v>
      </c>
      <c r="AE1258" s="34">
        <f>ROUND(IF(AQ1258="7",BI1258,0),2)</f>
        <v>0</v>
      </c>
      <c r="AF1258" s="34">
        <f>ROUND(IF(AQ1258="2",BH1258,0),2)</f>
        <v>0</v>
      </c>
      <c r="AG1258" s="34">
        <f>ROUND(IF(AQ1258="2",BI1258,0),2)</f>
        <v>0</v>
      </c>
      <c r="AH1258" s="34">
        <f>ROUND(IF(AQ1258="0",BJ1258,0),2)</f>
        <v>0</v>
      </c>
      <c r="AI1258" s="46" t="s">
        <v>91</v>
      </c>
      <c r="AJ1258" s="34">
        <f>IF(AN1258=0,I1258,0)</f>
        <v>0</v>
      </c>
      <c r="AK1258" s="34">
        <f>IF(AN1258=12,I1258,0)</f>
        <v>0</v>
      </c>
      <c r="AL1258" s="34">
        <f>IF(AN1258=21,I1258,0)</f>
        <v>0</v>
      </c>
      <c r="AN1258" s="34">
        <v>21</v>
      </c>
      <c r="AO1258" s="34">
        <f>H1258*1</f>
        <v>0</v>
      </c>
      <c r="AP1258" s="34">
        <f>H1258*(1-1)</f>
        <v>0</v>
      </c>
      <c r="AQ1258" s="65" t="s">
        <v>140</v>
      </c>
      <c r="AV1258" s="34">
        <f>ROUND(AW1258+AX1258,2)</f>
        <v>0</v>
      </c>
      <c r="AW1258" s="34">
        <f>ROUND(G1258*AO1258,2)</f>
        <v>0</v>
      </c>
      <c r="AX1258" s="34">
        <f>ROUND(G1258*AP1258,2)</f>
        <v>0</v>
      </c>
      <c r="AY1258" s="65" t="s">
        <v>2294</v>
      </c>
      <c r="AZ1258" s="65" t="s">
        <v>2257</v>
      </c>
      <c r="BA1258" s="46" t="s">
        <v>2258</v>
      </c>
      <c r="BC1258" s="34">
        <f>AW1258+AX1258</f>
        <v>0</v>
      </c>
      <c r="BD1258" s="34">
        <f>H1258/(100-BE1258)*100</f>
        <v>0</v>
      </c>
      <c r="BE1258" s="34">
        <v>0</v>
      </c>
      <c r="BF1258" s="34">
        <f>1258</f>
        <v>1258</v>
      </c>
      <c r="BH1258" s="34">
        <f>G1258*AO1258</f>
        <v>0</v>
      </c>
      <c r="BI1258" s="34">
        <f>G1258*AP1258</f>
        <v>0</v>
      </c>
      <c r="BJ1258" s="34">
        <f>G1258*H1258</f>
        <v>0</v>
      </c>
      <c r="BK1258" s="34"/>
      <c r="BL1258" s="34"/>
      <c r="BW1258" s="34">
        <v>21</v>
      </c>
      <c r="BX1258" s="3" t="s">
        <v>2369</v>
      </c>
    </row>
    <row r="1259" spans="1:76" x14ac:dyDescent="0.25">
      <c r="A1259" s="66"/>
      <c r="D1259" s="67" t="s">
        <v>129</v>
      </c>
      <c r="E1259" s="67" t="s">
        <v>4</v>
      </c>
      <c r="G1259" s="68">
        <v>1</v>
      </c>
      <c r="K1259" s="59"/>
    </row>
    <row r="1260" spans="1:76" ht="25.5" x14ac:dyDescent="0.25">
      <c r="A1260" s="1" t="s">
        <v>2370</v>
      </c>
      <c r="B1260" s="2" t="s">
        <v>91</v>
      </c>
      <c r="C1260" s="2" t="s">
        <v>2371</v>
      </c>
      <c r="D1260" s="86" t="s">
        <v>2372</v>
      </c>
      <c r="E1260" s="81"/>
      <c r="F1260" s="2" t="s">
        <v>258</v>
      </c>
      <c r="G1260" s="34">
        <v>12</v>
      </c>
      <c r="H1260" s="64">
        <v>0</v>
      </c>
      <c r="I1260" s="34">
        <f>ROUND(G1260*H1260,2)</f>
        <v>0</v>
      </c>
      <c r="J1260" s="65" t="s">
        <v>133</v>
      </c>
      <c r="K1260" s="59"/>
      <c r="Z1260" s="34">
        <f>ROUND(IF(AQ1260="5",BJ1260,0),2)</f>
        <v>0</v>
      </c>
      <c r="AB1260" s="34">
        <f>ROUND(IF(AQ1260="1",BH1260,0),2)</f>
        <v>0</v>
      </c>
      <c r="AC1260" s="34">
        <f>ROUND(IF(AQ1260="1",BI1260,0),2)</f>
        <v>0</v>
      </c>
      <c r="AD1260" s="34">
        <f>ROUND(IF(AQ1260="7",BH1260,0),2)</f>
        <v>0</v>
      </c>
      <c r="AE1260" s="34">
        <f>ROUND(IF(AQ1260="7",BI1260,0),2)</f>
        <v>0</v>
      </c>
      <c r="AF1260" s="34">
        <f>ROUND(IF(AQ1260="2",BH1260,0),2)</f>
        <v>0</v>
      </c>
      <c r="AG1260" s="34">
        <f>ROUND(IF(AQ1260="2",BI1260,0),2)</f>
        <v>0</v>
      </c>
      <c r="AH1260" s="34">
        <f>ROUND(IF(AQ1260="0",BJ1260,0),2)</f>
        <v>0</v>
      </c>
      <c r="AI1260" s="46" t="s">
        <v>91</v>
      </c>
      <c r="AJ1260" s="34">
        <f>IF(AN1260=0,I1260,0)</f>
        <v>0</v>
      </c>
      <c r="AK1260" s="34">
        <f>IF(AN1260=12,I1260,0)</f>
        <v>0</v>
      </c>
      <c r="AL1260" s="34">
        <f>IF(AN1260=21,I1260,0)</f>
        <v>0</v>
      </c>
      <c r="AN1260" s="34">
        <v>21</v>
      </c>
      <c r="AO1260" s="34">
        <f>H1260*1</f>
        <v>0</v>
      </c>
      <c r="AP1260" s="34">
        <f>H1260*(1-1)</f>
        <v>0</v>
      </c>
      <c r="AQ1260" s="65" t="s">
        <v>140</v>
      </c>
      <c r="AV1260" s="34">
        <f>ROUND(AW1260+AX1260,2)</f>
        <v>0</v>
      </c>
      <c r="AW1260" s="34">
        <f>ROUND(G1260*AO1260,2)</f>
        <v>0</v>
      </c>
      <c r="AX1260" s="34">
        <f>ROUND(G1260*AP1260,2)</f>
        <v>0</v>
      </c>
      <c r="AY1260" s="65" t="s">
        <v>2294</v>
      </c>
      <c r="AZ1260" s="65" t="s">
        <v>2257</v>
      </c>
      <c r="BA1260" s="46" t="s">
        <v>2258</v>
      </c>
      <c r="BC1260" s="34">
        <f>AW1260+AX1260</f>
        <v>0</v>
      </c>
      <c r="BD1260" s="34">
        <f>H1260/(100-BE1260)*100</f>
        <v>0</v>
      </c>
      <c r="BE1260" s="34">
        <v>0</v>
      </c>
      <c r="BF1260" s="34">
        <f>1260</f>
        <v>1260</v>
      </c>
      <c r="BH1260" s="34">
        <f>G1260*AO1260</f>
        <v>0</v>
      </c>
      <c r="BI1260" s="34">
        <f>G1260*AP1260</f>
        <v>0</v>
      </c>
      <c r="BJ1260" s="34">
        <f>G1260*H1260</f>
        <v>0</v>
      </c>
      <c r="BK1260" s="34"/>
      <c r="BL1260" s="34"/>
      <c r="BW1260" s="34">
        <v>21</v>
      </c>
      <c r="BX1260" s="3" t="s">
        <v>2372</v>
      </c>
    </row>
    <row r="1261" spans="1:76" x14ac:dyDescent="0.25">
      <c r="A1261" s="66"/>
      <c r="D1261" s="67" t="s">
        <v>138</v>
      </c>
      <c r="E1261" s="67" t="s">
        <v>4</v>
      </c>
      <c r="G1261" s="68">
        <v>12</v>
      </c>
      <c r="K1261" s="59"/>
    </row>
    <row r="1262" spans="1:76" ht="25.5" x14ac:dyDescent="0.25">
      <c r="A1262" s="1" t="s">
        <v>2373</v>
      </c>
      <c r="B1262" s="2" t="s">
        <v>91</v>
      </c>
      <c r="C1262" s="2" t="s">
        <v>2374</v>
      </c>
      <c r="D1262" s="86" t="s">
        <v>2375</v>
      </c>
      <c r="E1262" s="81"/>
      <c r="F1262" s="2" t="s">
        <v>258</v>
      </c>
      <c r="G1262" s="34">
        <v>37</v>
      </c>
      <c r="H1262" s="64">
        <v>0</v>
      </c>
      <c r="I1262" s="34">
        <f>ROUND(G1262*H1262,2)</f>
        <v>0</v>
      </c>
      <c r="J1262" s="65" t="s">
        <v>133</v>
      </c>
      <c r="K1262" s="59"/>
      <c r="Z1262" s="34">
        <f>ROUND(IF(AQ1262="5",BJ1262,0),2)</f>
        <v>0</v>
      </c>
      <c r="AB1262" s="34">
        <f>ROUND(IF(AQ1262="1",BH1262,0),2)</f>
        <v>0</v>
      </c>
      <c r="AC1262" s="34">
        <f>ROUND(IF(AQ1262="1",BI1262,0),2)</f>
        <v>0</v>
      </c>
      <c r="AD1262" s="34">
        <f>ROUND(IF(AQ1262="7",BH1262,0),2)</f>
        <v>0</v>
      </c>
      <c r="AE1262" s="34">
        <f>ROUND(IF(AQ1262="7",BI1262,0),2)</f>
        <v>0</v>
      </c>
      <c r="AF1262" s="34">
        <f>ROUND(IF(AQ1262="2",BH1262,0),2)</f>
        <v>0</v>
      </c>
      <c r="AG1262" s="34">
        <f>ROUND(IF(AQ1262="2",BI1262,0),2)</f>
        <v>0</v>
      </c>
      <c r="AH1262" s="34">
        <f>ROUND(IF(AQ1262="0",BJ1262,0),2)</f>
        <v>0</v>
      </c>
      <c r="AI1262" s="46" t="s">
        <v>91</v>
      </c>
      <c r="AJ1262" s="34">
        <f>IF(AN1262=0,I1262,0)</f>
        <v>0</v>
      </c>
      <c r="AK1262" s="34">
        <f>IF(AN1262=12,I1262,0)</f>
        <v>0</v>
      </c>
      <c r="AL1262" s="34">
        <f>IF(AN1262=21,I1262,0)</f>
        <v>0</v>
      </c>
      <c r="AN1262" s="34">
        <v>21</v>
      </c>
      <c r="AO1262" s="34">
        <f>H1262*1</f>
        <v>0</v>
      </c>
      <c r="AP1262" s="34">
        <f>H1262*(1-1)</f>
        <v>0</v>
      </c>
      <c r="AQ1262" s="65" t="s">
        <v>140</v>
      </c>
      <c r="AV1262" s="34">
        <f>ROUND(AW1262+AX1262,2)</f>
        <v>0</v>
      </c>
      <c r="AW1262" s="34">
        <f>ROUND(G1262*AO1262,2)</f>
        <v>0</v>
      </c>
      <c r="AX1262" s="34">
        <f>ROUND(G1262*AP1262,2)</f>
        <v>0</v>
      </c>
      <c r="AY1262" s="65" t="s">
        <v>2294</v>
      </c>
      <c r="AZ1262" s="65" t="s">
        <v>2257</v>
      </c>
      <c r="BA1262" s="46" t="s">
        <v>2258</v>
      </c>
      <c r="BC1262" s="34">
        <f>AW1262+AX1262</f>
        <v>0</v>
      </c>
      <c r="BD1262" s="34">
        <f>H1262/(100-BE1262)*100</f>
        <v>0</v>
      </c>
      <c r="BE1262" s="34">
        <v>0</v>
      </c>
      <c r="BF1262" s="34">
        <f>1262</f>
        <v>1262</v>
      </c>
      <c r="BH1262" s="34">
        <f>G1262*AO1262</f>
        <v>0</v>
      </c>
      <c r="BI1262" s="34">
        <f>G1262*AP1262</f>
        <v>0</v>
      </c>
      <c r="BJ1262" s="34">
        <f>G1262*H1262</f>
        <v>0</v>
      </c>
      <c r="BK1262" s="34"/>
      <c r="BL1262" s="34"/>
      <c r="BW1262" s="34">
        <v>21</v>
      </c>
      <c r="BX1262" s="3" t="s">
        <v>2375</v>
      </c>
    </row>
    <row r="1263" spans="1:76" x14ac:dyDescent="0.25">
      <c r="A1263" s="66"/>
      <c r="D1263" s="67" t="s">
        <v>383</v>
      </c>
      <c r="E1263" s="67" t="s">
        <v>4</v>
      </c>
      <c r="G1263" s="68">
        <v>37</v>
      </c>
      <c r="K1263" s="59"/>
    </row>
    <row r="1264" spans="1:76" ht="25.5" x14ac:dyDescent="0.25">
      <c r="A1264" s="1" t="s">
        <v>2376</v>
      </c>
      <c r="B1264" s="2" t="s">
        <v>91</v>
      </c>
      <c r="C1264" s="2" t="s">
        <v>2377</v>
      </c>
      <c r="D1264" s="86" t="s">
        <v>2378</v>
      </c>
      <c r="E1264" s="81"/>
      <c r="F1264" s="2" t="s">
        <v>258</v>
      </c>
      <c r="G1264" s="34">
        <v>4</v>
      </c>
      <c r="H1264" s="64">
        <v>0</v>
      </c>
      <c r="I1264" s="34">
        <f>ROUND(G1264*H1264,2)</f>
        <v>0</v>
      </c>
      <c r="J1264" s="65" t="s">
        <v>133</v>
      </c>
      <c r="K1264" s="59"/>
      <c r="Z1264" s="34">
        <f>ROUND(IF(AQ1264="5",BJ1264,0),2)</f>
        <v>0</v>
      </c>
      <c r="AB1264" s="34">
        <f>ROUND(IF(AQ1264="1",BH1264,0),2)</f>
        <v>0</v>
      </c>
      <c r="AC1264" s="34">
        <f>ROUND(IF(AQ1264="1",BI1264,0),2)</f>
        <v>0</v>
      </c>
      <c r="AD1264" s="34">
        <f>ROUND(IF(AQ1264="7",BH1264,0),2)</f>
        <v>0</v>
      </c>
      <c r="AE1264" s="34">
        <f>ROUND(IF(AQ1264="7",BI1264,0),2)</f>
        <v>0</v>
      </c>
      <c r="AF1264" s="34">
        <f>ROUND(IF(AQ1264="2",BH1264,0),2)</f>
        <v>0</v>
      </c>
      <c r="AG1264" s="34">
        <f>ROUND(IF(AQ1264="2",BI1264,0),2)</f>
        <v>0</v>
      </c>
      <c r="AH1264" s="34">
        <f>ROUND(IF(AQ1264="0",BJ1264,0),2)</f>
        <v>0</v>
      </c>
      <c r="AI1264" s="46" t="s">
        <v>91</v>
      </c>
      <c r="AJ1264" s="34">
        <f>IF(AN1264=0,I1264,0)</f>
        <v>0</v>
      </c>
      <c r="AK1264" s="34">
        <f>IF(AN1264=12,I1264,0)</f>
        <v>0</v>
      </c>
      <c r="AL1264" s="34">
        <f>IF(AN1264=21,I1264,0)</f>
        <v>0</v>
      </c>
      <c r="AN1264" s="34">
        <v>21</v>
      </c>
      <c r="AO1264" s="34">
        <f>H1264*1</f>
        <v>0</v>
      </c>
      <c r="AP1264" s="34">
        <f>H1264*(1-1)</f>
        <v>0</v>
      </c>
      <c r="AQ1264" s="65" t="s">
        <v>140</v>
      </c>
      <c r="AV1264" s="34">
        <f>ROUND(AW1264+AX1264,2)</f>
        <v>0</v>
      </c>
      <c r="AW1264" s="34">
        <f>ROUND(G1264*AO1264,2)</f>
        <v>0</v>
      </c>
      <c r="AX1264" s="34">
        <f>ROUND(G1264*AP1264,2)</f>
        <v>0</v>
      </c>
      <c r="AY1264" s="65" t="s">
        <v>2294</v>
      </c>
      <c r="AZ1264" s="65" t="s">
        <v>2257</v>
      </c>
      <c r="BA1264" s="46" t="s">
        <v>2258</v>
      </c>
      <c r="BC1264" s="34">
        <f>AW1264+AX1264</f>
        <v>0</v>
      </c>
      <c r="BD1264" s="34">
        <f>H1264/(100-BE1264)*100</f>
        <v>0</v>
      </c>
      <c r="BE1264" s="34">
        <v>0</v>
      </c>
      <c r="BF1264" s="34">
        <f>1264</f>
        <v>1264</v>
      </c>
      <c r="BH1264" s="34">
        <f>G1264*AO1264</f>
        <v>0</v>
      </c>
      <c r="BI1264" s="34">
        <f>G1264*AP1264</f>
        <v>0</v>
      </c>
      <c r="BJ1264" s="34">
        <f>G1264*H1264</f>
        <v>0</v>
      </c>
      <c r="BK1264" s="34"/>
      <c r="BL1264" s="34"/>
      <c r="BW1264" s="34">
        <v>21</v>
      </c>
      <c r="BX1264" s="3" t="s">
        <v>2378</v>
      </c>
    </row>
    <row r="1265" spans="1:76" x14ac:dyDescent="0.25">
      <c r="A1265" s="66"/>
      <c r="D1265" s="67" t="s">
        <v>161</v>
      </c>
      <c r="E1265" s="67" t="s">
        <v>4</v>
      </c>
      <c r="G1265" s="68">
        <v>4</v>
      </c>
      <c r="K1265" s="59"/>
    </row>
    <row r="1266" spans="1:76" ht="25.5" x14ac:dyDescent="0.25">
      <c r="A1266" s="1" t="s">
        <v>2379</v>
      </c>
      <c r="B1266" s="2" t="s">
        <v>91</v>
      </c>
      <c r="C1266" s="2" t="s">
        <v>2380</v>
      </c>
      <c r="D1266" s="86" t="s">
        <v>2381</v>
      </c>
      <c r="E1266" s="81"/>
      <c r="F1266" s="2" t="s">
        <v>258</v>
      </c>
      <c r="G1266" s="34">
        <v>8</v>
      </c>
      <c r="H1266" s="64">
        <v>0</v>
      </c>
      <c r="I1266" s="34">
        <f>ROUND(G1266*H1266,2)</f>
        <v>0</v>
      </c>
      <c r="J1266" s="65" t="s">
        <v>133</v>
      </c>
      <c r="K1266" s="59"/>
      <c r="Z1266" s="34">
        <f>ROUND(IF(AQ1266="5",BJ1266,0),2)</f>
        <v>0</v>
      </c>
      <c r="AB1266" s="34">
        <f>ROUND(IF(AQ1266="1",BH1266,0),2)</f>
        <v>0</v>
      </c>
      <c r="AC1266" s="34">
        <f>ROUND(IF(AQ1266="1",BI1266,0),2)</f>
        <v>0</v>
      </c>
      <c r="AD1266" s="34">
        <f>ROUND(IF(AQ1266="7",BH1266,0),2)</f>
        <v>0</v>
      </c>
      <c r="AE1266" s="34">
        <f>ROUND(IF(AQ1266="7",BI1266,0),2)</f>
        <v>0</v>
      </c>
      <c r="AF1266" s="34">
        <f>ROUND(IF(AQ1266="2",BH1266,0),2)</f>
        <v>0</v>
      </c>
      <c r="AG1266" s="34">
        <f>ROUND(IF(AQ1266="2",BI1266,0),2)</f>
        <v>0</v>
      </c>
      <c r="AH1266" s="34">
        <f>ROUND(IF(AQ1266="0",BJ1266,0),2)</f>
        <v>0</v>
      </c>
      <c r="AI1266" s="46" t="s">
        <v>91</v>
      </c>
      <c r="AJ1266" s="34">
        <f>IF(AN1266=0,I1266,0)</f>
        <v>0</v>
      </c>
      <c r="AK1266" s="34">
        <f>IF(AN1266=12,I1266,0)</f>
        <v>0</v>
      </c>
      <c r="AL1266" s="34">
        <f>IF(AN1266=21,I1266,0)</f>
        <v>0</v>
      </c>
      <c r="AN1266" s="34">
        <v>21</v>
      </c>
      <c r="AO1266" s="34">
        <f>H1266*1</f>
        <v>0</v>
      </c>
      <c r="AP1266" s="34">
        <f>H1266*(1-1)</f>
        <v>0</v>
      </c>
      <c r="AQ1266" s="65" t="s">
        <v>140</v>
      </c>
      <c r="AV1266" s="34">
        <f>ROUND(AW1266+AX1266,2)</f>
        <v>0</v>
      </c>
      <c r="AW1266" s="34">
        <f>ROUND(G1266*AO1266,2)</f>
        <v>0</v>
      </c>
      <c r="AX1266" s="34">
        <f>ROUND(G1266*AP1266,2)</f>
        <v>0</v>
      </c>
      <c r="AY1266" s="65" t="s">
        <v>2294</v>
      </c>
      <c r="AZ1266" s="65" t="s">
        <v>2257</v>
      </c>
      <c r="BA1266" s="46" t="s">
        <v>2258</v>
      </c>
      <c r="BC1266" s="34">
        <f>AW1266+AX1266</f>
        <v>0</v>
      </c>
      <c r="BD1266" s="34">
        <f>H1266/(100-BE1266)*100</f>
        <v>0</v>
      </c>
      <c r="BE1266" s="34">
        <v>0</v>
      </c>
      <c r="BF1266" s="34">
        <f>1266</f>
        <v>1266</v>
      </c>
      <c r="BH1266" s="34">
        <f>G1266*AO1266</f>
        <v>0</v>
      </c>
      <c r="BI1266" s="34">
        <f>G1266*AP1266</f>
        <v>0</v>
      </c>
      <c r="BJ1266" s="34">
        <f>G1266*H1266</f>
        <v>0</v>
      </c>
      <c r="BK1266" s="34"/>
      <c r="BL1266" s="34"/>
      <c r="BW1266" s="34">
        <v>21</v>
      </c>
      <c r="BX1266" s="3" t="s">
        <v>2381</v>
      </c>
    </row>
    <row r="1267" spans="1:76" x14ac:dyDescent="0.25">
      <c r="A1267" s="66"/>
      <c r="D1267" s="67" t="s">
        <v>182</v>
      </c>
      <c r="E1267" s="67" t="s">
        <v>4</v>
      </c>
      <c r="G1267" s="68">
        <v>8</v>
      </c>
      <c r="K1267" s="59"/>
    </row>
    <row r="1268" spans="1:76" ht="25.5" x14ac:dyDescent="0.25">
      <c r="A1268" s="1" t="s">
        <v>2382</v>
      </c>
      <c r="B1268" s="2" t="s">
        <v>91</v>
      </c>
      <c r="C1268" s="2" t="s">
        <v>2383</v>
      </c>
      <c r="D1268" s="86" t="s">
        <v>2384</v>
      </c>
      <c r="E1268" s="81"/>
      <c r="F1268" s="2" t="s">
        <v>258</v>
      </c>
      <c r="G1268" s="34">
        <v>4</v>
      </c>
      <c r="H1268" s="64">
        <v>0</v>
      </c>
      <c r="I1268" s="34">
        <f>ROUND(G1268*H1268,2)</f>
        <v>0</v>
      </c>
      <c r="J1268" s="65" t="s">
        <v>133</v>
      </c>
      <c r="K1268" s="59"/>
      <c r="Z1268" s="34">
        <f>ROUND(IF(AQ1268="5",BJ1268,0),2)</f>
        <v>0</v>
      </c>
      <c r="AB1268" s="34">
        <f>ROUND(IF(AQ1268="1",BH1268,0),2)</f>
        <v>0</v>
      </c>
      <c r="AC1268" s="34">
        <f>ROUND(IF(AQ1268="1",BI1268,0),2)</f>
        <v>0</v>
      </c>
      <c r="AD1268" s="34">
        <f>ROUND(IF(AQ1268="7",BH1268,0),2)</f>
        <v>0</v>
      </c>
      <c r="AE1268" s="34">
        <f>ROUND(IF(AQ1268="7",BI1268,0),2)</f>
        <v>0</v>
      </c>
      <c r="AF1268" s="34">
        <f>ROUND(IF(AQ1268="2",BH1268,0),2)</f>
        <v>0</v>
      </c>
      <c r="AG1268" s="34">
        <f>ROUND(IF(AQ1268="2",BI1268,0),2)</f>
        <v>0</v>
      </c>
      <c r="AH1268" s="34">
        <f>ROUND(IF(AQ1268="0",BJ1268,0),2)</f>
        <v>0</v>
      </c>
      <c r="AI1268" s="46" t="s">
        <v>91</v>
      </c>
      <c r="AJ1268" s="34">
        <f>IF(AN1268=0,I1268,0)</f>
        <v>0</v>
      </c>
      <c r="AK1268" s="34">
        <f>IF(AN1268=12,I1268,0)</f>
        <v>0</v>
      </c>
      <c r="AL1268" s="34">
        <f>IF(AN1268=21,I1268,0)</f>
        <v>0</v>
      </c>
      <c r="AN1268" s="34">
        <v>21</v>
      </c>
      <c r="AO1268" s="34">
        <f>H1268*1</f>
        <v>0</v>
      </c>
      <c r="AP1268" s="34">
        <f>H1268*(1-1)</f>
        <v>0</v>
      </c>
      <c r="AQ1268" s="65" t="s">
        <v>140</v>
      </c>
      <c r="AV1268" s="34">
        <f>ROUND(AW1268+AX1268,2)</f>
        <v>0</v>
      </c>
      <c r="AW1268" s="34">
        <f>ROUND(G1268*AO1268,2)</f>
        <v>0</v>
      </c>
      <c r="AX1268" s="34">
        <f>ROUND(G1268*AP1268,2)</f>
        <v>0</v>
      </c>
      <c r="AY1268" s="65" t="s">
        <v>2294</v>
      </c>
      <c r="AZ1268" s="65" t="s">
        <v>2257</v>
      </c>
      <c r="BA1268" s="46" t="s">
        <v>2258</v>
      </c>
      <c r="BC1268" s="34">
        <f>AW1268+AX1268</f>
        <v>0</v>
      </c>
      <c r="BD1268" s="34">
        <f>H1268/(100-BE1268)*100</f>
        <v>0</v>
      </c>
      <c r="BE1268" s="34">
        <v>0</v>
      </c>
      <c r="BF1268" s="34">
        <f>1268</f>
        <v>1268</v>
      </c>
      <c r="BH1268" s="34">
        <f>G1268*AO1268</f>
        <v>0</v>
      </c>
      <c r="BI1268" s="34">
        <f>G1268*AP1268</f>
        <v>0</v>
      </c>
      <c r="BJ1268" s="34">
        <f>G1268*H1268</f>
        <v>0</v>
      </c>
      <c r="BK1268" s="34"/>
      <c r="BL1268" s="34"/>
      <c r="BW1268" s="34">
        <v>21</v>
      </c>
      <c r="BX1268" s="3" t="s">
        <v>2384</v>
      </c>
    </row>
    <row r="1269" spans="1:76" x14ac:dyDescent="0.25">
      <c r="A1269" s="66"/>
      <c r="D1269" s="67" t="s">
        <v>161</v>
      </c>
      <c r="E1269" s="67" t="s">
        <v>4</v>
      </c>
      <c r="G1269" s="68">
        <v>4</v>
      </c>
      <c r="K1269" s="59"/>
    </row>
    <row r="1270" spans="1:76" ht="25.5" x14ac:dyDescent="0.25">
      <c r="A1270" s="1" t="s">
        <v>2385</v>
      </c>
      <c r="B1270" s="2" t="s">
        <v>91</v>
      </c>
      <c r="C1270" s="2" t="s">
        <v>2386</v>
      </c>
      <c r="D1270" s="86" t="s">
        <v>2387</v>
      </c>
      <c r="E1270" s="81"/>
      <c r="F1270" s="2" t="s">
        <v>258</v>
      </c>
      <c r="G1270" s="34">
        <v>80</v>
      </c>
      <c r="H1270" s="64">
        <v>0</v>
      </c>
      <c r="I1270" s="34">
        <f>ROUND(G1270*H1270,2)</f>
        <v>0</v>
      </c>
      <c r="J1270" s="65" t="s">
        <v>133</v>
      </c>
      <c r="K1270" s="59"/>
      <c r="Z1270" s="34">
        <f>ROUND(IF(AQ1270="5",BJ1270,0),2)</f>
        <v>0</v>
      </c>
      <c r="AB1270" s="34">
        <f>ROUND(IF(AQ1270="1",BH1270,0),2)</f>
        <v>0</v>
      </c>
      <c r="AC1270" s="34">
        <f>ROUND(IF(AQ1270="1",BI1270,0),2)</f>
        <v>0</v>
      </c>
      <c r="AD1270" s="34">
        <f>ROUND(IF(AQ1270="7",BH1270,0),2)</f>
        <v>0</v>
      </c>
      <c r="AE1270" s="34">
        <f>ROUND(IF(AQ1270="7",BI1270,0),2)</f>
        <v>0</v>
      </c>
      <c r="AF1270" s="34">
        <f>ROUND(IF(AQ1270="2",BH1270,0),2)</f>
        <v>0</v>
      </c>
      <c r="AG1270" s="34">
        <f>ROUND(IF(AQ1270="2",BI1270,0),2)</f>
        <v>0</v>
      </c>
      <c r="AH1270" s="34">
        <f>ROUND(IF(AQ1270="0",BJ1270,0),2)</f>
        <v>0</v>
      </c>
      <c r="AI1270" s="46" t="s">
        <v>91</v>
      </c>
      <c r="AJ1270" s="34">
        <f>IF(AN1270=0,I1270,0)</f>
        <v>0</v>
      </c>
      <c r="AK1270" s="34">
        <f>IF(AN1270=12,I1270,0)</f>
        <v>0</v>
      </c>
      <c r="AL1270" s="34">
        <f>IF(AN1270=21,I1270,0)</f>
        <v>0</v>
      </c>
      <c r="AN1270" s="34">
        <v>21</v>
      </c>
      <c r="AO1270" s="34">
        <f>H1270*1</f>
        <v>0</v>
      </c>
      <c r="AP1270" s="34">
        <f>H1270*(1-1)</f>
        <v>0</v>
      </c>
      <c r="AQ1270" s="65" t="s">
        <v>140</v>
      </c>
      <c r="AV1270" s="34">
        <f>ROUND(AW1270+AX1270,2)</f>
        <v>0</v>
      </c>
      <c r="AW1270" s="34">
        <f>ROUND(G1270*AO1270,2)</f>
        <v>0</v>
      </c>
      <c r="AX1270" s="34">
        <f>ROUND(G1270*AP1270,2)</f>
        <v>0</v>
      </c>
      <c r="AY1270" s="65" t="s">
        <v>2294</v>
      </c>
      <c r="AZ1270" s="65" t="s">
        <v>2257</v>
      </c>
      <c r="BA1270" s="46" t="s">
        <v>2258</v>
      </c>
      <c r="BC1270" s="34">
        <f>AW1270+AX1270</f>
        <v>0</v>
      </c>
      <c r="BD1270" s="34">
        <f>H1270/(100-BE1270)*100</f>
        <v>0</v>
      </c>
      <c r="BE1270" s="34">
        <v>0</v>
      </c>
      <c r="BF1270" s="34">
        <f>1270</f>
        <v>1270</v>
      </c>
      <c r="BH1270" s="34">
        <f>G1270*AO1270</f>
        <v>0</v>
      </c>
      <c r="BI1270" s="34">
        <f>G1270*AP1270</f>
        <v>0</v>
      </c>
      <c r="BJ1270" s="34">
        <f>G1270*H1270</f>
        <v>0</v>
      </c>
      <c r="BK1270" s="34"/>
      <c r="BL1270" s="34"/>
      <c r="BW1270" s="34">
        <v>21</v>
      </c>
      <c r="BX1270" s="3" t="s">
        <v>2387</v>
      </c>
    </row>
    <row r="1271" spans="1:76" x14ac:dyDescent="0.25">
      <c r="A1271" s="66"/>
      <c r="D1271" s="67" t="s">
        <v>655</v>
      </c>
      <c r="E1271" s="67" t="s">
        <v>4</v>
      </c>
      <c r="G1271" s="68">
        <v>80</v>
      </c>
      <c r="K1271" s="59"/>
    </row>
    <row r="1272" spans="1:76" ht="25.5" x14ac:dyDescent="0.25">
      <c r="A1272" s="1" t="s">
        <v>2388</v>
      </c>
      <c r="B1272" s="2" t="s">
        <v>91</v>
      </c>
      <c r="C1272" s="2" t="s">
        <v>2389</v>
      </c>
      <c r="D1272" s="86" t="s">
        <v>2390</v>
      </c>
      <c r="E1272" s="81"/>
      <c r="F1272" s="2" t="s">
        <v>258</v>
      </c>
      <c r="G1272" s="34">
        <v>14</v>
      </c>
      <c r="H1272" s="64">
        <v>0</v>
      </c>
      <c r="I1272" s="34">
        <f>ROUND(G1272*H1272,2)</f>
        <v>0</v>
      </c>
      <c r="J1272" s="65" t="s">
        <v>133</v>
      </c>
      <c r="K1272" s="59"/>
      <c r="Z1272" s="34">
        <f>ROUND(IF(AQ1272="5",BJ1272,0),2)</f>
        <v>0</v>
      </c>
      <c r="AB1272" s="34">
        <f>ROUND(IF(AQ1272="1",BH1272,0),2)</f>
        <v>0</v>
      </c>
      <c r="AC1272" s="34">
        <f>ROUND(IF(AQ1272="1",BI1272,0),2)</f>
        <v>0</v>
      </c>
      <c r="AD1272" s="34">
        <f>ROUND(IF(AQ1272="7",BH1272,0),2)</f>
        <v>0</v>
      </c>
      <c r="AE1272" s="34">
        <f>ROUND(IF(AQ1272="7",BI1272,0),2)</f>
        <v>0</v>
      </c>
      <c r="AF1272" s="34">
        <f>ROUND(IF(AQ1272="2",BH1272,0),2)</f>
        <v>0</v>
      </c>
      <c r="AG1272" s="34">
        <f>ROUND(IF(AQ1272="2",BI1272,0),2)</f>
        <v>0</v>
      </c>
      <c r="AH1272" s="34">
        <f>ROUND(IF(AQ1272="0",BJ1272,0),2)</f>
        <v>0</v>
      </c>
      <c r="AI1272" s="46" t="s">
        <v>91</v>
      </c>
      <c r="AJ1272" s="34">
        <f>IF(AN1272=0,I1272,0)</f>
        <v>0</v>
      </c>
      <c r="AK1272" s="34">
        <f>IF(AN1272=12,I1272,0)</f>
        <v>0</v>
      </c>
      <c r="AL1272" s="34">
        <f>IF(AN1272=21,I1272,0)</f>
        <v>0</v>
      </c>
      <c r="AN1272" s="34">
        <v>21</v>
      </c>
      <c r="AO1272" s="34">
        <f>H1272*1</f>
        <v>0</v>
      </c>
      <c r="AP1272" s="34">
        <f>H1272*(1-1)</f>
        <v>0</v>
      </c>
      <c r="AQ1272" s="65" t="s">
        <v>140</v>
      </c>
      <c r="AV1272" s="34">
        <f>ROUND(AW1272+AX1272,2)</f>
        <v>0</v>
      </c>
      <c r="AW1272" s="34">
        <f>ROUND(G1272*AO1272,2)</f>
        <v>0</v>
      </c>
      <c r="AX1272" s="34">
        <f>ROUND(G1272*AP1272,2)</f>
        <v>0</v>
      </c>
      <c r="AY1272" s="65" t="s">
        <v>2294</v>
      </c>
      <c r="AZ1272" s="65" t="s">
        <v>2257</v>
      </c>
      <c r="BA1272" s="46" t="s">
        <v>2258</v>
      </c>
      <c r="BC1272" s="34">
        <f>AW1272+AX1272</f>
        <v>0</v>
      </c>
      <c r="BD1272" s="34">
        <f>H1272/(100-BE1272)*100</f>
        <v>0</v>
      </c>
      <c r="BE1272" s="34">
        <v>0</v>
      </c>
      <c r="BF1272" s="34">
        <f>1272</f>
        <v>1272</v>
      </c>
      <c r="BH1272" s="34">
        <f>G1272*AO1272</f>
        <v>0</v>
      </c>
      <c r="BI1272" s="34">
        <f>G1272*AP1272</f>
        <v>0</v>
      </c>
      <c r="BJ1272" s="34">
        <f>G1272*H1272</f>
        <v>0</v>
      </c>
      <c r="BK1272" s="34"/>
      <c r="BL1272" s="34"/>
      <c r="BW1272" s="34">
        <v>21</v>
      </c>
      <c r="BX1272" s="3" t="s">
        <v>2390</v>
      </c>
    </row>
    <row r="1273" spans="1:76" x14ac:dyDescent="0.25">
      <c r="A1273" s="66"/>
      <c r="D1273" s="67" t="s">
        <v>229</v>
      </c>
      <c r="E1273" s="67" t="s">
        <v>4</v>
      </c>
      <c r="G1273" s="68">
        <v>14</v>
      </c>
      <c r="K1273" s="59"/>
    </row>
    <row r="1274" spans="1:76" ht="25.5" x14ac:dyDescent="0.25">
      <c r="A1274" s="1" t="s">
        <v>2391</v>
      </c>
      <c r="B1274" s="2" t="s">
        <v>91</v>
      </c>
      <c r="C1274" s="2" t="s">
        <v>2389</v>
      </c>
      <c r="D1274" s="86" t="s">
        <v>2392</v>
      </c>
      <c r="E1274" s="81"/>
      <c r="F1274" s="2" t="s">
        <v>258</v>
      </c>
      <c r="G1274" s="34">
        <v>6</v>
      </c>
      <c r="H1274" s="64">
        <v>0</v>
      </c>
      <c r="I1274" s="34">
        <f>ROUND(G1274*H1274,2)</f>
        <v>0</v>
      </c>
      <c r="J1274" s="65" t="s">
        <v>133</v>
      </c>
      <c r="K1274" s="59"/>
      <c r="Z1274" s="34">
        <f>ROUND(IF(AQ1274="5",BJ1274,0),2)</f>
        <v>0</v>
      </c>
      <c r="AB1274" s="34">
        <f>ROUND(IF(AQ1274="1",BH1274,0),2)</f>
        <v>0</v>
      </c>
      <c r="AC1274" s="34">
        <f>ROUND(IF(AQ1274="1",BI1274,0),2)</f>
        <v>0</v>
      </c>
      <c r="AD1274" s="34">
        <f>ROUND(IF(AQ1274="7",BH1274,0),2)</f>
        <v>0</v>
      </c>
      <c r="AE1274" s="34">
        <f>ROUND(IF(AQ1274="7",BI1274,0),2)</f>
        <v>0</v>
      </c>
      <c r="AF1274" s="34">
        <f>ROUND(IF(AQ1274="2",BH1274,0),2)</f>
        <v>0</v>
      </c>
      <c r="AG1274" s="34">
        <f>ROUND(IF(AQ1274="2",BI1274,0),2)</f>
        <v>0</v>
      </c>
      <c r="AH1274" s="34">
        <f>ROUND(IF(AQ1274="0",BJ1274,0),2)</f>
        <v>0</v>
      </c>
      <c r="AI1274" s="46" t="s">
        <v>91</v>
      </c>
      <c r="AJ1274" s="34">
        <f>IF(AN1274=0,I1274,0)</f>
        <v>0</v>
      </c>
      <c r="AK1274" s="34">
        <f>IF(AN1274=12,I1274,0)</f>
        <v>0</v>
      </c>
      <c r="AL1274" s="34">
        <f>IF(AN1274=21,I1274,0)</f>
        <v>0</v>
      </c>
      <c r="AN1274" s="34">
        <v>21</v>
      </c>
      <c r="AO1274" s="34">
        <f>H1274*1</f>
        <v>0</v>
      </c>
      <c r="AP1274" s="34">
        <f>H1274*(1-1)</f>
        <v>0</v>
      </c>
      <c r="AQ1274" s="65" t="s">
        <v>140</v>
      </c>
      <c r="AV1274" s="34">
        <f>ROUND(AW1274+AX1274,2)</f>
        <v>0</v>
      </c>
      <c r="AW1274" s="34">
        <f>ROUND(G1274*AO1274,2)</f>
        <v>0</v>
      </c>
      <c r="AX1274" s="34">
        <f>ROUND(G1274*AP1274,2)</f>
        <v>0</v>
      </c>
      <c r="AY1274" s="65" t="s">
        <v>2294</v>
      </c>
      <c r="AZ1274" s="65" t="s">
        <v>2257</v>
      </c>
      <c r="BA1274" s="46" t="s">
        <v>2258</v>
      </c>
      <c r="BC1274" s="34">
        <f>AW1274+AX1274</f>
        <v>0</v>
      </c>
      <c r="BD1274" s="34">
        <f>H1274/(100-BE1274)*100</f>
        <v>0</v>
      </c>
      <c r="BE1274" s="34">
        <v>0</v>
      </c>
      <c r="BF1274" s="34">
        <f>1274</f>
        <v>1274</v>
      </c>
      <c r="BH1274" s="34">
        <f>G1274*AO1274</f>
        <v>0</v>
      </c>
      <c r="BI1274" s="34">
        <f>G1274*AP1274</f>
        <v>0</v>
      </c>
      <c r="BJ1274" s="34">
        <f>G1274*H1274</f>
        <v>0</v>
      </c>
      <c r="BK1274" s="34"/>
      <c r="BL1274" s="34"/>
      <c r="BW1274" s="34">
        <v>21</v>
      </c>
      <c r="BX1274" s="3" t="s">
        <v>2392</v>
      </c>
    </row>
    <row r="1275" spans="1:76" ht="13.5" customHeight="1" x14ac:dyDescent="0.25">
      <c r="A1275" s="66"/>
      <c r="C1275" s="69" t="s">
        <v>204</v>
      </c>
      <c r="D1275" s="169" t="s">
        <v>2393</v>
      </c>
      <c r="E1275" s="170"/>
      <c r="F1275" s="170"/>
      <c r="G1275" s="170"/>
      <c r="H1275" s="171"/>
      <c r="I1275" s="170"/>
      <c r="J1275" s="170"/>
      <c r="K1275" s="172"/>
    </row>
    <row r="1276" spans="1:76" x14ac:dyDescent="0.25">
      <c r="A1276" s="66"/>
      <c r="D1276" s="67" t="s">
        <v>171</v>
      </c>
      <c r="E1276" s="67" t="s">
        <v>4</v>
      </c>
      <c r="G1276" s="68">
        <v>6</v>
      </c>
      <c r="K1276" s="59"/>
    </row>
    <row r="1277" spans="1:76" ht="25.5" x14ac:dyDescent="0.25">
      <c r="A1277" s="1" t="s">
        <v>2394</v>
      </c>
      <c r="B1277" s="2" t="s">
        <v>91</v>
      </c>
      <c r="C1277" s="2" t="s">
        <v>2395</v>
      </c>
      <c r="D1277" s="86" t="s">
        <v>2396</v>
      </c>
      <c r="E1277" s="81"/>
      <c r="F1277" s="2" t="s">
        <v>258</v>
      </c>
      <c r="G1277" s="34">
        <v>14</v>
      </c>
      <c r="H1277" s="64">
        <v>0</v>
      </c>
      <c r="I1277" s="34">
        <f>ROUND(G1277*H1277,2)</f>
        <v>0</v>
      </c>
      <c r="J1277" s="65" t="s">
        <v>133</v>
      </c>
      <c r="K1277" s="59"/>
      <c r="Z1277" s="34">
        <f>ROUND(IF(AQ1277="5",BJ1277,0),2)</f>
        <v>0</v>
      </c>
      <c r="AB1277" s="34">
        <f>ROUND(IF(AQ1277="1",BH1277,0),2)</f>
        <v>0</v>
      </c>
      <c r="AC1277" s="34">
        <f>ROUND(IF(AQ1277="1",BI1277,0),2)</f>
        <v>0</v>
      </c>
      <c r="AD1277" s="34">
        <f>ROUND(IF(AQ1277="7",BH1277,0),2)</f>
        <v>0</v>
      </c>
      <c r="AE1277" s="34">
        <f>ROUND(IF(AQ1277="7",BI1277,0),2)</f>
        <v>0</v>
      </c>
      <c r="AF1277" s="34">
        <f>ROUND(IF(AQ1277="2",BH1277,0),2)</f>
        <v>0</v>
      </c>
      <c r="AG1277" s="34">
        <f>ROUND(IF(AQ1277="2",BI1277,0),2)</f>
        <v>0</v>
      </c>
      <c r="AH1277" s="34">
        <f>ROUND(IF(AQ1277="0",BJ1277,0),2)</f>
        <v>0</v>
      </c>
      <c r="AI1277" s="46" t="s">
        <v>91</v>
      </c>
      <c r="AJ1277" s="34">
        <f>IF(AN1277=0,I1277,0)</f>
        <v>0</v>
      </c>
      <c r="AK1277" s="34">
        <f>IF(AN1277=12,I1277,0)</f>
        <v>0</v>
      </c>
      <c r="AL1277" s="34">
        <f>IF(AN1277=21,I1277,0)</f>
        <v>0</v>
      </c>
      <c r="AN1277" s="34">
        <v>21</v>
      </c>
      <c r="AO1277" s="34">
        <f>H1277*1</f>
        <v>0</v>
      </c>
      <c r="AP1277" s="34">
        <f>H1277*(1-1)</f>
        <v>0</v>
      </c>
      <c r="AQ1277" s="65" t="s">
        <v>140</v>
      </c>
      <c r="AV1277" s="34">
        <f>ROUND(AW1277+AX1277,2)</f>
        <v>0</v>
      </c>
      <c r="AW1277" s="34">
        <f>ROUND(G1277*AO1277,2)</f>
        <v>0</v>
      </c>
      <c r="AX1277" s="34">
        <f>ROUND(G1277*AP1277,2)</f>
        <v>0</v>
      </c>
      <c r="AY1277" s="65" t="s">
        <v>2294</v>
      </c>
      <c r="AZ1277" s="65" t="s">
        <v>2257</v>
      </c>
      <c r="BA1277" s="46" t="s">
        <v>2258</v>
      </c>
      <c r="BC1277" s="34">
        <f>AW1277+AX1277</f>
        <v>0</v>
      </c>
      <c r="BD1277" s="34">
        <f>H1277/(100-BE1277)*100</f>
        <v>0</v>
      </c>
      <c r="BE1277" s="34">
        <v>0</v>
      </c>
      <c r="BF1277" s="34">
        <f>1277</f>
        <v>1277</v>
      </c>
      <c r="BH1277" s="34">
        <f>G1277*AO1277</f>
        <v>0</v>
      </c>
      <c r="BI1277" s="34">
        <f>G1277*AP1277</f>
        <v>0</v>
      </c>
      <c r="BJ1277" s="34">
        <f>G1277*H1277</f>
        <v>0</v>
      </c>
      <c r="BK1277" s="34"/>
      <c r="BL1277" s="34"/>
      <c r="BW1277" s="34">
        <v>21</v>
      </c>
      <c r="BX1277" s="3" t="s">
        <v>2396</v>
      </c>
    </row>
    <row r="1278" spans="1:76" x14ac:dyDescent="0.25">
      <c r="A1278" s="66"/>
      <c r="D1278" s="67" t="s">
        <v>229</v>
      </c>
      <c r="E1278" s="67" t="s">
        <v>4</v>
      </c>
      <c r="G1278" s="68">
        <v>14</v>
      </c>
      <c r="K1278" s="59"/>
    </row>
    <row r="1279" spans="1:76" ht="25.5" x14ac:dyDescent="0.25">
      <c r="A1279" s="1" t="s">
        <v>2397</v>
      </c>
      <c r="B1279" s="2" t="s">
        <v>91</v>
      </c>
      <c r="C1279" s="2" t="s">
        <v>2395</v>
      </c>
      <c r="D1279" s="86" t="s">
        <v>2398</v>
      </c>
      <c r="E1279" s="81"/>
      <c r="F1279" s="2" t="s">
        <v>258</v>
      </c>
      <c r="G1279" s="34">
        <v>1</v>
      </c>
      <c r="H1279" s="64">
        <v>0</v>
      </c>
      <c r="I1279" s="34">
        <f>ROUND(G1279*H1279,2)</f>
        <v>0</v>
      </c>
      <c r="J1279" s="65" t="s">
        <v>133</v>
      </c>
      <c r="K1279" s="59"/>
      <c r="Z1279" s="34">
        <f>ROUND(IF(AQ1279="5",BJ1279,0),2)</f>
        <v>0</v>
      </c>
      <c r="AB1279" s="34">
        <f>ROUND(IF(AQ1279="1",BH1279,0),2)</f>
        <v>0</v>
      </c>
      <c r="AC1279" s="34">
        <f>ROUND(IF(AQ1279="1",BI1279,0),2)</f>
        <v>0</v>
      </c>
      <c r="AD1279" s="34">
        <f>ROUND(IF(AQ1279="7",BH1279,0),2)</f>
        <v>0</v>
      </c>
      <c r="AE1279" s="34">
        <f>ROUND(IF(AQ1279="7",BI1279,0),2)</f>
        <v>0</v>
      </c>
      <c r="AF1279" s="34">
        <f>ROUND(IF(AQ1279="2",BH1279,0),2)</f>
        <v>0</v>
      </c>
      <c r="AG1279" s="34">
        <f>ROUND(IF(AQ1279="2",BI1279,0),2)</f>
        <v>0</v>
      </c>
      <c r="AH1279" s="34">
        <f>ROUND(IF(AQ1279="0",BJ1279,0),2)</f>
        <v>0</v>
      </c>
      <c r="AI1279" s="46" t="s">
        <v>91</v>
      </c>
      <c r="AJ1279" s="34">
        <f>IF(AN1279=0,I1279,0)</f>
        <v>0</v>
      </c>
      <c r="AK1279" s="34">
        <f>IF(AN1279=12,I1279,0)</f>
        <v>0</v>
      </c>
      <c r="AL1279" s="34">
        <f>IF(AN1279=21,I1279,0)</f>
        <v>0</v>
      </c>
      <c r="AN1279" s="34">
        <v>21</v>
      </c>
      <c r="AO1279" s="34">
        <f>H1279*1</f>
        <v>0</v>
      </c>
      <c r="AP1279" s="34">
        <f>H1279*(1-1)</f>
        <v>0</v>
      </c>
      <c r="AQ1279" s="65" t="s">
        <v>140</v>
      </c>
      <c r="AV1279" s="34">
        <f>ROUND(AW1279+AX1279,2)</f>
        <v>0</v>
      </c>
      <c r="AW1279" s="34">
        <f>ROUND(G1279*AO1279,2)</f>
        <v>0</v>
      </c>
      <c r="AX1279" s="34">
        <f>ROUND(G1279*AP1279,2)</f>
        <v>0</v>
      </c>
      <c r="AY1279" s="65" t="s">
        <v>2294</v>
      </c>
      <c r="AZ1279" s="65" t="s">
        <v>2257</v>
      </c>
      <c r="BA1279" s="46" t="s">
        <v>2258</v>
      </c>
      <c r="BC1279" s="34">
        <f>AW1279+AX1279</f>
        <v>0</v>
      </c>
      <c r="BD1279" s="34">
        <f>H1279/(100-BE1279)*100</f>
        <v>0</v>
      </c>
      <c r="BE1279" s="34">
        <v>0</v>
      </c>
      <c r="BF1279" s="34">
        <f>1279</f>
        <v>1279</v>
      </c>
      <c r="BH1279" s="34">
        <f>G1279*AO1279</f>
        <v>0</v>
      </c>
      <c r="BI1279" s="34">
        <f>G1279*AP1279</f>
        <v>0</v>
      </c>
      <c r="BJ1279" s="34">
        <f>G1279*H1279</f>
        <v>0</v>
      </c>
      <c r="BK1279" s="34"/>
      <c r="BL1279" s="34"/>
      <c r="BW1279" s="34">
        <v>21</v>
      </c>
      <c r="BX1279" s="3" t="s">
        <v>2398</v>
      </c>
    </row>
    <row r="1280" spans="1:76" x14ac:dyDescent="0.25">
      <c r="A1280" s="66"/>
      <c r="D1280" s="67" t="s">
        <v>129</v>
      </c>
      <c r="E1280" s="67" t="s">
        <v>4</v>
      </c>
      <c r="G1280" s="68">
        <v>1</v>
      </c>
      <c r="K1280" s="59"/>
    </row>
    <row r="1281" spans="1:76" ht="25.5" x14ac:dyDescent="0.25">
      <c r="A1281" s="1" t="s">
        <v>2399</v>
      </c>
      <c r="B1281" s="2" t="s">
        <v>91</v>
      </c>
      <c r="C1281" s="2" t="s">
        <v>2395</v>
      </c>
      <c r="D1281" s="86" t="s">
        <v>2400</v>
      </c>
      <c r="E1281" s="81"/>
      <c r="F1281" s="2" t="s">
        <v>258</v>
      </c>
      <c r="G1281" s="34">
        <v>5</v>
      </c>
      <c r="H1281" s="64">
        <v>0</v>
      </c>
      <c r="I1281" s="34">
        <f>ROUND(G1281*H1281,2)</f>
        <v>0</v>
      </c>
      <c r="J1281" s="65" t="s">
        <v>133</v>
      </c>
      <c r="K1281" s="59"/>
      <c r="Z1281" s="34">
        <f>ROUND(IF(AQ1281="5",BJ1281,0),2)</f>
        <v>0</v>
      </c>
      <c r="AB1281" s="34">
        <f>ROUND(IF(AQ1281="1",BH1281,0),2)</f>
        <v>0</v>
      </c>
      <c r="AC1281" s="34">
        <f>ROUND(IF(AQ1281="1",BI1281,0),2)</f>
        <v>0</v>
      </c>
      <c r="AD1281" s="34">
        <f>ROUND(IF(AQ1281="7",BH1281,0),2)</f>
        <v>0</v>
      </c>
      <c r="AE1281" s="34">
        <f>ROUND(IF(AQ1281="7",BI1281,0),2)</f>
        <v>0</v>
      </c>
      <c r="AF1281" s="34">
        <f>ROUND(IF(AQ1281="2",BH1281,0),2)</f>
        <v>0</v>
      </c>
      <c r="AG1281" s="34">
        <f>ROUND(IF(AQ1281="2",BI1281,0),2)</f>
        <v>0</v>
      </c>
      <c r="AH1281" s="34">
        <f>ROUND(IF(AQ1281="0",BJ1281,0),2)</f>
        <v>0</v>
      </c>
      <c r="AI1281" s="46" t="s">
        <v>91</v>
      </c>
      <c r="AJ1281" s="34">
        <f>IF(AN1281=0,I1281,0)</f>
        <v>0</v>
      </c>
      <c r="AK1281" s="34">
        <f>IF(AN1281=12,I1281,0)</f>
        <v>0</v>
      </c>
      <c r="AL1281" s="34">
        <f>IF(AN1281=21,I1281,0)</f>
        <v>0</v>
      </c>
      <c r="AN1281" s="34">
        <v>21</v>
      </c>
      <c r="AO1281" s="34">
        <f>H1281*1</f>
        <v>0</v>
      </c>
      <c r="AP1281" s="34">
        <f>H1281*(1-1)</f>
        <v>0</v>
      </c>
      <c r="AQ1281" s="65" t="s">
        <v>140</v>
      </c>
      <c r="AV1281" s="34">
        <f>ROUND(AW1281+AX1281,2)</f>
        <v>0</v>
      </c>
      <c r="AW1281" s="34">
        <f>ROUND(G1281*AO1281,2)</f>
        <v>0</v>
      </c>
      <c r="AX1281" s="34">
        <f>ROUND(G1281*AP1281,2)</f>
        <v>0</v>
      </c>
      <c r="AY1281" s="65" t="s">
        <v>2294</v>
      </c>
      <c r="AZ1281" s="65" t="s">
        <v>2257</v>
      </c>
      <c r="BA1281" s="46" t="s">
        <v>2258</v>
      </c>
      <c r="BC1281" s="34">
        <f>AW1281+AX1281</f>
        <v>0</v>
      </c>
      <c r="BD1281" s="34">
        <f>H1281/(100-BE1281)*100</f>
        <v>0</v>
      </c>
      <c r="BE1281" s="34">
        <v>0</v>
      </c>
      <c r="BF1281" s="34">
        <f>1281</f>
        <v>1281</v>
      </c>
      <c r="BH1281" s="34">
        <f>G1281*AO1281</f>
        <v>0</v>
      </c>
      <c r="BI1281" s="34">
        <f>G1281*AP1281</f>
        <v>0</v>
      </c>
      <c r="BJ1281" s="34">
        <f>G1281*H1281</f>
        <v>0</v>
      </c>
      <c r="BK1281" s="34"/>
      <c r="BL1281" s="34"/>
      <c r="BW1281" s="34">
        <v>21</v>
      </c>
      <c r="BX1281" s="3" t="s">
        <v>2400</v>
      </c>
    </row>
    <row r="1282" spans="1:76" x14ac:dyDescent="0.25">
      <c r="A1282" s="66"/>
      <c r="D1282" s="67" t="s">
        <v>166</v>
      </c>
      <c r="E1282" s="67" t="s">
        <v>4</v>
      </c>
      <c r="G1282" s="68">
        <v>5</v>
      </c>
      <c r="K1282" s="59"/>
    </row>
    <row r="1283" spans="1:76" ht="25.5" x14ac:dyDescent="0.25">
      <c r="A1283" s="1" t="s">
        <v>2401</v>
      </c>
      <c r="B1283" s="2" t="s">
        <v>91</v>
      </c>
      <c r="C1283" s="2" t="s">
        <v>2402</v>
      </c>
      <c r="D1283" s="86" t="s">
        <v>2403</v>
      </c>
      <c r="E1283" s="81"/>
      <c r="F1283" s="2" t="s">
        <v>258</v>
      </c>
      <c r="G1283" s="34">
        <v>2</v>
      </c>
      <c r="H1283" s="64">
        <v>0</v>
      </c>
      <c r="I1283" s="34">
        <f>ROUND(G1283*H1283,2)</f>
        <v>0</v>
      </c>
      <c r="J1283" s="65" t="s">
        <v>133</v>
      </c>
      <c r="K1283" s="59"/>
      <c r="Z1283" s="34">
        <f>ROUND(IF(AQ1283="5",BJ1283,0),2)</f>
        <v>0</v>
      </c>
      <c r="AB1283" s="34">
        <f>ROUND(IF(AQ1283="1",BH1283,0),2)</f>
        <v>0</v>
      </c>
      <c r="AC1283" s="34">
        <f>ROUND(IF(AQ1283="1",BI1283,0),2)</f>
        <v>0</v>
      </c>
      <c r="AD1283" s="34">
        <f>ROUND(IF(AQ1283="7",BH1283,0),2)</f>
        <v>0</v>
      </c>
      <c r="AE1283" s="34">
        <f>ROUND(IF(AQ1283="7",BI1283,0),2)</f>
        <v>0</v>
      </c>
      <c r="AF1283" s="34">
        <f>ROUND(IF(AQ1283="2",BH1283,0),2)</f>
        <v>0</v>
      </c>
      <c r="AG1283" s="34">
        <f>ROUND(IF(AQ1283="2",BI1283,0),2)</f>
        <v>0</v>
      </c>
      <c r="AH1283" s="34">
        <f>ROUND(IF(AQ1283="0",BJ1283,0),2)</f>
        <v>0</v>
      </c>
      <c r="AI1283" s="46" t="s">
        <v>91</v>
      </c>
      <c r="AJ1283" s="34">
        <f>IF(AN1283=0,I1283,0)</f>
        <v>0</v>
      </c>
      <c r="AK1283" s="34">
        <f>IF(AN1283=12,I1283,0)</f>
        <v>0</v>
      </c>
      <c r="AL1283" s="34">
        <f>IF(AN1283=21,I1283,0)</f>
        <v>0</v>
      </c>
      <c r="AN1283" s="34">
        <v>21</v>
      </c>
      <c r="AO1283" s="34">
        <f>H1283*1</f>
        <v>0</v>
      </c>
      <c r="AP1283" s="34">
        <f>H1283*(1-1)</f>
        <v>0</v>
      </c>
      <c r="AQ1283" s="65" t="s">
        <v>140</v>
      </c>
      <c r="AV1283" s="34">
        <f>ROUND(AW1283+AX1283,2)</f>
        <v>0</v>
      </c>
      <c r="AW1283" s="34">
        <f>ROUND(G1283*AO1283,2)</f>
        <v>0</v>
      </c>
      <c r="AX1283" s="34">
        <f>ROUND(G1283*AP1283,2)</f>
        <v>0</v>
      </c>
      <c r="AY1283" s="65" t="s">
        <v>2294</v>
      </c>
      <c r="AZ1283" s="65" t="s">
        <v>2257</v>
      </c>
      <c r="BA1283" s="46" t="s">
        <v>2258</v>
      </c>
      <c r="BC1283" s="34">
        <f>AW1283+AX1283</f>
        <v>0</v>
      </c>
      <c r="BD1283" s="34">
        <f>H1283/(100-BE1283)*100</f>
        <v>0</v>
      </c>
      <c r="BE1283" s="34">
        <v>0</v>
      </c>
      <c r="BF1283" s="34">
        <f>1283</f>
        <v>1283</v>
      </c>
      <c r="BH1283" s="34">
        <f>G1283*AO1283</f>
        <v>0</v>
      </c>
      <c r="BI1283" s="34">
        <f>G1283*AP1283</f>
        <v>0</v>
      </c>
      <c r="BJ1283" s="34">
        <f>G1283*H1283</f>
        <v>0</v>
      </c>
      <c r="BK1283" s="34"/>
      <c r="BL1283" s="34"/>
      <c r="BW1283" s="34">
        <v>21</v>
      </c>
      <c r="BX1283" s="3" t="s">
        <v>2403</v>
      </c>
    </row>
    <row r="1284" spans="1:76" x14ac:dyDescent="0.25">
      <c r="A1284" s="66"/>
      <c r="D1284" s="67" t="s">
        <v>140</v>
      </c>
      <c r="E1284" s="67" t="s">
        <v>4</v>
      </c>
      <c r="G1284" s="68">
        <v>2</v>
      </c>
      <c r="K1284" s="59"/>
    </row>
    <row r="1285" spans="1:76" x14ac:dyDescent="0.25">
      <c r="A1285" s="1" t="s">
        <v>2404</v>
      </c>
      <c r="B1285" s="2" t="s">
        <v>91</v>
      </c>
      <c r="C1285" s="2" t="s">
        <v>2405</v>
      </c>
      <c r="D1285" s="86" t="s">
        <v>2406</v>
      </c>
      <c r="E1285" s="81"/>
      <c r="F1285" s="2" t="s">
        <v>258</v>
      </c>
      <c r="G1285" s="34">
        <v>3</v>
      </c>
      <c r="H1285" s="64">
        <v>0</v>
      </c>
      <c r="I1285" s="34">
        <f>ROUND(G1285*H1285,2)</f>
        <v>0</v>
      </c>
      <c r="J1285" s="65" t="s">
        <v>133</v>
      </c>
      <c r="K1285" s="59"/>
      <c r="Z1285" s="34">
        <f>ROUND(IF(AQ1285="5",BJ1285,0),2)</f>
        <v>0</v>
      </c>
      <c r="AB1285" s="34">
        <f>ROUND(IF(AQ1285="1",BH1285,0),2)</f>
        <v>0</v>
      </c>
      <c r="AC1285" s="34">
        <f>ROUND(IF(AQ1285="1",BI1285,0),2)</f>
        <v>0</v>
      </c>
      <c r="AD1285" s="34">
        <f>ROUND(IF(AQ1285="7",BH1285,0),2)</f>
        <v>0</v>
      </c>
      <c r="AE1285" s="34">
        <f>ROUND(IF(AQ1285="7",BI1285,0),2)</f>
        <v>0</v>
      </c>
      <c r="AF1285" s="34">
        <f>ROUND(IF(AQ1285="2",BH1285,0),2)</f>
        <v>0</v>
      </c>
      <c r="AG1285" s="34">
        <f>ROUND(IF(AQ1285="2",BI1285,0),2)</f>
        <v>0</v>
      </c>
      <c r="AH1285" s="34">
        <f>ROUND(IF(AQ1285="0",BJ1285,0),2)</f>
        <v>0</v>
      </c>
      <c r="AI1285" s="46" t="s">
        <v>91</v>
      </c>
      <c r="AJ1285" s="34">
        <f>IF(AN1285=0,I1285,0)</f>
        <v>0</v>
      </c>
      <c r="AK1285" s="34">
        <f>IF(AN1285=12,I1285,0)</f>
        <v>0</v>
      </c>
      <c r="AL1285" s="34">
        <f>IF(AN1285=21,I1285,0)</f>
        <v>0</v>
      </c>
      <c r="AN1285" s="34">
        <v>21</v>
      </c>
      <c r="AO1285" s="34">
        <f>H1285*1</f>
        <v>0</v>
      </c>
      <c r="AP1285" s="34">
        <f>H1285*(1-1)</f>
        <v>0</v>
      </c>
      <c r="AQ1285" s="65" t="s">
        <v>140</v>
      </c>
      <c r="AV1285" s="34">
        <f>ROUND(AW1285+AX1285,2)</f>
        <v>0</v>
      </c>
      <c r="AW1285" s="34">
        <f>ROUND(G1285*AO1285,2)</f>
        <v>0</v>
      </c>
      <c r="AX1285" s="34">
        <f>ROUND(G1285*AP1285,2)</f>
        <v>0</v>
      </c>
      <c r="AY1285" s="65" t="s">
        <v>2294</v>
      </c>
      <c r="AZ1285" s="65" t="s">
        <v>2257</v>
      </c>
      <c r="BA1285" s="46" t="s">
        <v>2258</v>
      </c>
      <c r="BC1285" s="34">
        <f>AW1285+AX1285</f>
        <v>0</v>
      </c>
      <c r="BD1285" s="34">
        <f>H1285/(100-BE1285)*100</f>
        <v>0</v>
      </c>
      <c r="BE1285" s="34">
        <v>0</v>
      </c>
      <c r="BF1285" s="34">
        <f>1285</f>
        <v>1285</v>
      </c>
      <c r="BH1285" s="34">
        <f>G1285*AO1285</f>
        <v>0</v>
      </c>
      <c r="BI1285" s="34">
        <f>G1285*AP1285</f>
        <v>0</v>
      </c>
      <c r="BJ1285" s="34">
        <f>G1285*H1285</f>
        <v>0</v>
      </c>
      <c r="BK1285" s="34"/>
      <c r="BL1285" s="34"/>
      <c r="BW1285" s="34">
        <v>21</v>
      </c>
      <c r="BX1285" s="3" t="s">
        <v>2406</v>
      </c>
    </row>
    <row r="1286" spans="1:76" x14ac:dyDescent="0.25">
      <c r="A1286" s="66"/>
      <c r="D1286" s="67" t="s">
        <v>148</v>
      </c>
      <c r="E1286" s="67" t="s">
        <v>4</v>
      </c>
      <c r="G1286" s="68">
        <v>3</v>
      </c>
      <c r="K1286" s="59"/>
    </row>
    <row r="1287" spans="1:76" ht="25.5" x14ac:dyDescent="0.25">
      <c r="A1287" s="1" t="s">
        <v>2407</v>
      </c>
      <c r="B1287" s="2" t="s">
        <v>91</v>
      </c>
      <c r="C1287" s="2" t="s">
        <v>2408</v>
      </c>
      <c r="D1287" s="86" t="s">
        <v>2409</v>
      </c>
      <c r="E1287" s="81"/>
      <c r="F1287" s="2" t="s">
        <v>258</v>
      </c>
      <c r="G1287" s="34">
        <v>21</v>
      </c>
      <c r="H1287" s="64">
        <v>0</v>
      </c>
      <c r="I1287" s="34">
        <f>ROUND(G1287*H1287,2)</f>
        <v>0</v>
      </c>
      <c r="J1287" s="65" t="s">
        <v>133</v>
      </c>
      <c r="K1287" s="59"/>
      <c r="Z1287" s="34">
        <f>ROUND(IF(AQ1287="5",BJ1287,0),2)</f>
        <v>0</v>
      </c>
      <c r="AB1287" s="34">
        <f>ROUND(IF(AQ1287="1",BH1287,0),2)</f>
        <v>0</v>
      </c>
      <c r="AC1287" s="34">
        <f>ROUND(IF(AQ1287="1",BI1287,0),2)</f>
        <v>0</v>
      </c>
      <c r="AD1287" s="34">
        <f>ROUND(IF(AQ1287="7",BH1287,0),2)</f>
        <v>0</v>
      </c>
      <c r="AE1287" s="34">
        <f>ROUND(IF(AQ1287="7",BI1287,0),2)</f>
        <v>0</v>
      </c>
      <c r="AF1287" s="34">
        <f>ROUND(IF(AQ1287="2",BH1287,0),2)</f>
        <v>0</v>
      </c>
      <c r="AG1287" s="34">
        <f>ROUND(IF(AQ1287="2",BI1287,0),2)</f>
        <v>0</v>
      </c>
      <c r="AH1287" s="34">
        <f>ROUND(IF(AQ1287="0",BJ1287,0),2)</f>
        <v>0</v>
      </c>
      <c r="AI1287" s="46" t="s">
        <v>91</v>
      </c>
      <c r="AJ1287" s="34">
        <f>IF(AN1287=0,I1287,0)</f>
        <v>0</v>
      </c>
      <c r="AK1287" s="34">
        <f>IF(AN1287=12,I1287,0)</f>
        <v>0</v>
      </c>
      <c r="AL1287" s="34">
        <f>IF(AN1287=21,I1287,0)</f>
        <v>0</v>
      </c>
      <c r="AN1287" s="34">
        <v>21</v>
      </c>
      <c r="AO1287" s="34">
        <f>H1287*1</f>
        <v>0</v>
      </c>
      <c r="AP1287" s="34">
        <f>H1287*(1-1)</f>
        <v>0</v>
      </c>
      <c r="AQ1287" s="65" t="s">
        <v>140</v>
      </c>
      <c r="AV1287" s="34">
        <f>ROUND(AW1287+AX1287,2)</f>
        <v>0</v>
      </c>
      <c r="AW1287" s="34">
        <f>ROUND(G1287*AO1287,2)</f>
        <v>0</v>
      </c>
      <c r="AX1287" s="34">
        <f>ROUND(G1287*AP1287,2)</f>
        <v>0</v>
      </c>
      <c r="AY1287" s="65" t="s">
        <v>2294</v>
      </c>
      <c r="AZ1287" s="65" t="s">
        <v>2257</v>
      </c>
      <c r="BA1287" s="46" t="s">
        <v>2258</v>
      </c>
      <c r="BC1287" s="34">
        <f>AW1287+AX1287</f>
        <v>0</v>
      </c>
      <c r="BD1287" s="34">
        <f>H1287/(100-BE1287)*100</f>
        <v>0</v>
      </c>
      <c r="BE1287" s="34">
        <v>0</v>
      </c>
      <c r="BF1287" s="34">
        <f>1287</f>
        <v>1287</v>
      </c>
      <c r="BH1287" s="34">
        <f>G1287*AO1287</f>
        <v>0</v>
      </c>
      <c r="BI1287" s="34">
        <f>G1287*AP1287</f>
        <v>0</v>
      </c>
      <c r="BJ1287" s="34">
        <f>G1287*H1287</f>
        <v>0</v>
      </c>
      <c r="BK1287" s="34"/>
      <c r="BL1287" s="34"/>
      <c r="BW1287" s="34">
        <v>21</v>
      </c>
      <c r="BX1287" s="3" t="s">
        <v>2409</v>
      </c>
    </row>
    <row r="1288" spans="1:76" x14ac:dyDescent="0.25">
      <c r="A1288" s="66"/>
      <c r="D1288" s="67" t="s">
        <v>276</v>
      </c>
      <c r="E1288" s="67" t="s">
        <v>4</v>
      </c>
      <c r="G1288" s="68">
        <v>21</v>
      </c>
      <c r="K1288" s="59"/>
    </row>
    <row r="1289" spans="1:76" ht="25.5" x14ac:dyDescent="0.25">
      <c r="A1289" s="1" t="s">
        <v>2410</v>
      </c>
      <c r="B1289" s="2" t="s">
        <v>91</v>
      </c>
      <c r="C1289" s="2" t="s">
        <v>2411</v>
      </c>
      <c r="D1289" s="86" t="s">
        <v>2412</v>
      </c>
      <c r="E1289" s="81"/>
      <c r="F1289" s="2" t="s">
        <v>258</v>
      </c>
      <c r="G1289" s="34">
        <v>1</v>
      </c>
      <c r="H1289" s="64">
        <v>0</v>
      </c>
      <c r="I1289" s="34">
        <f>ROUND(G1289*H1289,2)</f>
        <v>0</v>
      </c>
      <c r="J1289" s="65" t="s">
        <v>133</v>
      </c>
      <c r="K1289" s="59"/>
      <c r="Z1289" s="34">
        <f>ROUND(IF(AQ1289="5",BJ1289,0),2)</f>
        <v>0</v>
      </c>
      <c r="AB1289" s="34">
        <f>ROUND(IF(AQ1289="1",BH1289,0),2)</f>
        <v>0</v>
      </c>
      <c r="AC1289" s="34">
        <f>ROUND(IF(AQ1289="1",BI1289,0),2)</f>
        <v>0</v>
      </c>
      <c r="AD1289" s="34">
        <f>ROUND(IF(AQ1289="7",BH1289,0),2)</f>
        <v>0</v>
      </c>
      <c r="AE1289" s="34">
        <f>ROUND(IF(AQ1289="7",BI1289,0),2)</f>
        <v>0</v>
      </c>
      <c r="AF1289" s="34">
        <f>ROUND(IF(AQ1289="2",BH1289,0),2)</f>
        <v>0</v>
      </c>
      <c r="AG1289" s="34">
        <f>ROUND(IF(AQ1289="2",BI1289,0),2)</f>
        <v>0</v>
      </c>
      <c r="AH1289" s="34">
        <f>ROUND(IF(AQ1289="0",BJ1289,0),2)</f>
        <v>0</v>
      </c>
      <c r="AI1289" s="46" t="s">
        <v>91</v>
      </c>
      <c r="AJ1289" s="34">
        <f>IF(AN1289=0,I1289,0)</f>
        <v>0</v>
      </c>
      <c r="AK1289" s="34">
        <f>IF(AN1289=12,I1289,0)</f>
        <v>0</v>
      </c>
      <c r="AL1289" s="34">
        <f>IF(AN1289=21,I1289,0)</f>
        <v>0</v>
      </c>
      <c r="AN1289" s="34">
        <v>21</v>
      </c>
      <c r="AO1289" s="34">
        <f>H1289*1</f>
        <v>0</v>
      </c>
      <c r="AP1289" s="34">
        <f>H1289*(1-1)</f>
        <v>0</v>
      </c>
      <c r="AQ1289" s="65" t="s">
        <v>140</v>
      </c>
      <c r="AV1289" s="34">
        <f>ROUND(AW1289+AX1289,2)</f>
        <v>0</v>
      </c>
      <c r="AW1289" s="34">
        <f>ROUND(G1289*AO1289,2)</f>
        <v>0</v>
      </c>
      <c r="AX1289" s="34">
        <f>ROUND(G1289*AP1289,2)</f>
        <v>0</v>
      </c>
      <c r="AY1289" s="65" t="s">
        <v>2294</v>
      </c>
      <c r="AZ1289" s="65" t="s">
        <v>2257</v>
      </c>
      <c r="BA1289" s="46" t="s">
        <v>2258</v>
      </c>
      <c r="BC1289" s="34">
        <f>AW1289+AX1289</f>
        <v>0</v>
      </c>
      <c r="BD1289" s="34">
        <f>H1289/(100-BE1289)*100</f>
        <v>0</v>
      </c>
      <c r="BE1289" s="34">
        <v>0</v>
      </c>
      <c r="BF1289" s="34">
        <f>1289</f>
        <v>1289</v>
      </c>
      <c r="BH1289" s="34">
        <f>G1289*AO1289</f>
        <v>0</v>
      </c>
      <c r="BI1289" s="34">
        <f>G1289*AP1289</f>
        <v>0</v>
      </c>
      <c r="BJ1289" s="34">
        <f>G1289*H1289</f>
        <v>0</v>
      </c>
      <c r="BK1289" s="34"/>
      <c r="BL1289" s="34"/>
      <c r="BW1289" s="34">
        <v>21</v>
      </c>
      <c r="BX1289" s="3" t="s">
        <v>2412</v>
      </c>
    </row>
    <row r="1290" spans="1:76" ht="13.5" customHeight="1" x14ac:dyDescent="0.25">
      <c r="A1290" s="66"/>
      <c r="C1290" s="69" t="s">
        <v>204</v>
      </c>
      <c r="D1290" s="169" t="s">
        <v>2413</v>
      </c>
      <c r="E1290" s="170"/>
      <c r="F1290" s="170"/>
      <c r="G1290" s="170"/>
      <c r="H1290" s="171"/>
      <c r="I1290" s="170"/>
      <c r="J1290" s="170"/>
      <c r="K1290" s="172"/>
    </row>
    <row r="1291" spans="1:76" x14ac:dyDescent="0.25">
      <c r="A1291" s="66"/>
      <c r="D1291" s="67" t="s">
        <v>129</v>
      </c>
      <c r="E1291" s="67" t="s">
        <v>4</v>
      </c>
      <c r="G1291" s="68">
        <v>1</v>
      </c>
      <c r="K1291" s="59"/>
    </row>
    <row r="1292" spans="1:76" ht="25.5" x14ac:dyDescent="0.25">
      <c r="A1292" s="1" t="s">
        <v>2414</v>
      </c>
      <c r="B1292" s="2" t="s">
        <v>91</v>
      </c>
      <c r="C1292" s="2" t="s">
        <v>2415</v>
      </c>
      <c r="D1292" s="86" t="s">
        <v>2416</v>
      </c>
      <c r="E1292" s="81"/>
      <c r="F1292" s="2" t="s">
        <v>258</v>
      </c>
      <c r="G1292" s="34">
        <v>3</v>
      </c>
      <c r="H1292" s="64">
        <v>0</v>
      </c>
      <c r="I1292" s="34">
        <f>ROUND(G1292*H1292,2)</f>
        <v>0</v>
      </c>
      <c r="J1292" s="65" t="s">
        <v>133</v>
      </c>
      <c r="K1292" s="59"/>
      <c r="Z1292" s="34">
        <f>ROUND(IF(AQ1292="5",BJ1292,0),2)</f>
        <v>0</v>
      </c>
      <c r="AB1292" s="34">
        <f>ROUND(IF(AQ1292="1",BH1292,0),2)</f>
        <v>0</v>
      </c>
      <c r="AC1292" s="34">
        <f>ROUND(IF(AQ1292="1",BI1292,0),2)</f>
        <v>0</v>
      </c>
      <c r="AD1292" s="34">
        <f>ROUND(IF(AQ1292="7",BH1292,0),2)</f>
        <v>0</v>
      </c>
      <c r="AE1292" s="34">
        <f>ROUND(IF(AQ1292="7",BI1292,0),2)</f>
        <v>0</v>
      </c>
      <c r="AF1292" s="34">
        <f>ROUND(IF(AQ1292="2",BH1292,0),2)</f>
        <v>0</v>
      </c>
      <c r="AG1292" s="34">
        <f>ROUND(IF(AQ1292="2",BI1292,0),2)</f>
        <v>0</v>
      </c>
      <c r="AH1292" s="34">
        <f>ROUND(IF(AQ1292="0",BJ1292,0),2)</f>
        <v>0</v>
      </c>
      <c r="AI1292" s="46" t="s">
        <v>91</v>
      </c>
      <c r="AJ1292" s="34">
        <f>IF(AN1292=0,I1292,0)</f>
        <v>0</v>
      </c>
      <c r="AK1292" s="34">
        <f>IF(AN1292=12,I1292,0)</f>
        <v>0</v>
      </c>
      <c r="AL1292" s="34">
        <f>IF(AN1292=21,I1292,0)</f>
        <v>0</v>
      </c>
      <c r="AN1292" s="34">
        <v>21</v>
      </c>
      <c r="AO1292" s="34">
        <f>H1292*1</f>
        <v>0</v>
      </c>
      <c r="AP1292" s="34">
        <f>H1292*(1-1)</f>
        <v>0</v>
      </c>
      <c r="AQ1292" s="65" t="s">
        <v>140</v>
      </c>
      <c r="AV1292" s="34">
        <f>ROUND(AW1292+AX1292,2)</f>
        <v>0</v>
      </c>
      <c r="AW1292" s="34">
        <f>ROUND(G1292*AO1292,2)</f>
        <v>0</v>
      </c>
      <c r="AX1292" s="34">
        <f>ROUND(G1292*AP1292,2)</f>
        <v>0</v>
      </c>
      <c r="AY1292" s="65" t="s">
        <v>2294</v>
      </c>
      <c r="AZ1292" s="65" t="s">
        <v>2257</v>
      </c>
      <c r="BA1292" s="46" t="s">
        <v>2258</v>
      </c>
      <c r="BC1292" s="34">
        <f>AW1292+AX1292</f>
        <v>0</v>
      </c>
      <c r="BD1292" s="34">
        <f>H1292/(100-BE1292)*100</f>
        <v>0</v>
      </c>
      <c r="BE1292" s="34">
        <v>0</v>
      </c>
      <c r="BF1292" s="34">
        <f>1292</f>
        <v>1292</v>
      </c>
      <c r="BH1292" s="34">
        <f>G1292*AO1292</f>
        <v>0</v>
      </c>
      <c r="BI1292" s="34">
        <f>G1292*AP1292</f>
        <v>0</v>
      </c>
      <c r="BJ1292" s="34">
        <f>G1292*H1292</f>
        <v>0</v>
      </c>
      <c r="BK1292" s="34"/>
      <c r="BL1292" s="34"/>
      <c r="BW1292" s="34">
        <v>21</v>
      </c>
      <c r="BX1292" s="3" t="s">
        <v>2416</v>
      </c>
    </row>
    <row r="1293" spans="1:76" x14ac:dyDescent="0.25">
      <c r="A1293" s="66"/>
      <c r="D1293" s="67" t="s">
        <v>148</v>
      </c>
      <c r="E1293" s="67" t="s">
        <v>4</v>
      </c>
      <c r="G1293" s="68">
        <v>3</v>
      </c>
      <c r="K1293" s="59"/>
    </row>
    <row r="1294" spans="1:76" ht="25.5" x14ac:dyDescent="0.25">
      <c r="A1294" s="1" t="s">
        <v>2417</v>
      </c>
      <c r="B1294" s="2" t="s">
        <v>91</v>
      </c>
      <c r="C1294" s="2" t="s">
        <v>2418</v>
      </c>
      <c r="D1294" s="86" t="s">
        <v>2419</v>
      </c>
      <c r="E1294" s="81"/>
      <c r="F1294" s="2" t="s">
        <v>258</v>
      </c>
      <c r="G1294" s="34">
        <v>9</v>
      </c>
      <c r="H1294" s="64">
        <v>0</v>
      </c>
      <c r="I1294" s="34">
        <f>ROUND(G1294*H1294,2)</f>
        <v>0</v>
      </c>
      <c r="J1294" s="65" t="s">
        <v>133</v>
      </c>
      <c r="K1294" s="59"/>
      <c r="Z1294" s="34">
        <f>ROUND(IF(AQ1294="5",BJ1294,0),2)</f>
        <v>0</v>
      </c>
      <c r="AB1294" s="34">
        <f>ROUND(IF(AQ1294="1",BH1294,0),2)</f>
        <v>0</v>
      </c>
      <c r="AC1294" s="34">
        <f>ROUND(IF(AQ1294="1",BI1294,0),2)</f>
        <v>0</v>
      </c>
      <c r="AD1294" s="34">
        <f>ROUND(IF(AQ1294="7",BH1294,0),2)</f>
        <v>0</v>
      </c>
      <c r="AE1294" s="34">
        <f>ROUND(IF(AQ1294="7",BI1294,0),2)</f>
        <v>0</v>
      </c>
      <c r="AF1294" s="34">
        <f>ROUND(IF(AQ1294="2",BH1294,0),2)</f>
        <v>0</v>
      </c>
      <c r="AG1294" s="34">
        <f>ROUND(IF(AQ1294="2",BI1294,0),2)</f>
        <v>0</v>
      </c>
      <c r="AH1294" s="34">
        <f>ROUND(IF(AQ1294="0",BJ1294,0),2)</f>
        <v>0</v>
      </c>
      <c r="AI1294" s="46" t="s">
        <v>91</v>
      </c>
      <c r="AJ1294" s="34">
        <f>IF(AN1294=0,I1294,0)</f>
        <v>0</v>
      </c>
      <c r="AK1294" s="34">
        <f>IF(AN1294=12,I1294,0)</f>
        <v>0</v>
      </c>
      <c r="AL1294" s="34">
        <f>IF(AN1294=21,I1294,0)</f>
        <v>0</v>
      </c>
      <c r="AN1294" s="34">
        <v>21</v>
      </c>
      <c r="AO1294" s="34">
        <f>H1294*1</f>
        <v>0</v>
      </c>
      <c r="AP1294" s="34">
        <f>H1294*(1-1)</f>
        <v>0</v>
      </c>
      <c r="AQ1294" s="65" t="s">
        <v>140</v>
      </c>
      <c r="AV1294" s="34">
        <f>ROUND(AW1294+AX1294,2)</f>
        <v>0</v>
      </c>
      <c r="AW1294" s="34">
        <f>ROUND(G1294*AO1294,2)</f>
        <v>0</v>
      </c>
      <c r="AX1294" s="34">
        <f>ROUND(G1294*AP1294,2)</f>
        <v>0</v>
      </c>
      <c r="AY1294" s="65" t="s">
        <v>2294</v>
      </c>
      <c r="AZ1294" s="65" t="s">
        <v>2257</v>
      </c>
      <c r="BA1294" s="46" t="s">
        <v>2258</v>
      </c>
      <c r="BC1294" s="34">
        <f>AW1294+AX1294</f>
        <v>0</v>
      </c>
      <c r="BD1294" s="34">
        <f>H1294/(100-BE1294)*100</f>
        <v>0</v>
      </c>
      <c r="BE1294" s="34">
        <v>0</v>
      </c>
      <c r="BF1294" s="34">
        <f>1294</f>
        <v>1294</v>
      </c>
      <c r="BH1294" s="34">
        <f>G1294*AO1294</f>
        <v>0</v>
      </c>
      <c r="BI1294" s="34">
        <f>G1294*AP1294</f>
        <v>0</v>
      </c>
      <c r="BJ1294" s="34">
        <f>G1294*H1294</f>
        <v>0</v>
      </c>
      <c r="BK1294" s="34"/>
      <c r="BL1294" s="34"/>
      <c r="BW1294" s="34">
        <v>21</v>
      </c>
      <c r="BX1294" s="3" t="s">
        <v>2419</v>
      </c>
    </row>
    <row r="1295" spans="1:76" x14ac:dyDescent="0.25">
      <c r="A1295" s="66"/>
      <c r="D1295" s="67" t="s">
        <v>189</v>
      </c>
      <c r="E1295" s="67" t="s">
        <v>4</v>
      </c>
      <c r="G1295" s="68">
        <v>9</v>
      </c>
      <c r="K1295" s="59"/>
    </row>
    <row r="1296" spans="1:76" ht="25.5" x14ac:dyDescent="0.25">
      <c r="A1296" s="1" t="s">
        <v>2420</v>
      </c>
      <c r="B1296" s="2" t="s">
        <v>91</v>
      </c>
      <c r="C1296" s="2" t="s">
        <v>2421</v>
      </c>
      <c r="D1296" s="86" t="s">
        <v>2422</v>
      </c>
      <c r="E1296" s="81"/>
      <c r="F1296" s="2" t="s">
        <v>258</v>
      </c>
      <c r="G1296" s="34">
        <v>10</v>
      </c>
      <c r="H1296" s="64">
        <v>0</v>
      </c>
      <c r="I1296" s="34">
        <f>ROUND(G1296*H1296,2)</f>
        <v>0</v>
      </c>
      <c r="J1296" s="65" t="s">
        <v>133</v>
      </c>
      <c r="K1296" s="59"/>
      <c r="Z1296" s="34">
        <f>ROUND(IF(AQ1296="5",BJ1296,0),2)</f>
        <v>0</v>
      </c>
      <c r="AB1296" s="34">
        <f>ROUND(IF(AQ1296="1",BH1296,0),2)</f>
        <v>0</v>
      </c>
      <c r="AC1296" s="34">
        <f>ROUND(IF(AQ1296="1",BI1296,0),2)</f>
        <v>0</v>
      </c>
      <c r="AD1296" s="34">
        <f>ROUND(IF(AQ1296="7",BH1296,0),2)</f>
        <v>0</v>
      </c>
      <c r="AE1296" s="34">
        <f>ROUND(IF(AQ1296="7",BI1296,0),2)</f>
        <v>0</v>
      </c>
      <c r="AF1296" s="34">
        <f>ROUND(IF(AQ1296="2",BH1296,0),2)</f>
        <v>0</v>
      </c>
      <c r="AG1296" s="34">
        <f>ROUND(IF(AQ1296="2",BI1296,0),2)</f>
        <v>0</v>
      </c>
      <c r="AH1296" s="34">
        <f>ROUND(IF(AQ1296="0",BJ1296,0),2)</f>
        <v>0</v>
      </c>
      <c r="AI1296" s="46" t="s">
        <v>91</v>
      </c>
      <c r="AJ1296" s="34">
        <f>IF(AN1296=0,I1296,0)</f>
        <v>0</v>
      </c>
      <c r="AK1296" s="34">
        <f>IF(AN1296=12,I1296,0)</f>
        <v>0</v>
      </c>
      <c r="AL1296" s="34">
        <f>IF(AN1296=21,I1296,0)</f>
        <v>0</v>
      </c>
      <c r="AN1296" s="34">
        <v>21</v>
      </c>
      <c r="AO1296" s="34">
        <f>H1296*1</f>
        <v>0</v>
      </c>
      <c r="AP1296" s="34">
        <f>H1296*(1-1)</f>
        <v>0</v>
      </c>
      <c r="AQ1296" s="65" t="s">
        <v>140</v>
      </c>
      <c r="AV1296" s="34">
        <f>ROUND(AW1296+AX1296,2)</f>
        <v>0</v>
      </c>
      <c r="AW1296" s="34">
        <f>ROUND(G1296*AO1296,2)</f>
        <v>0</v>
      </c>
      <c r="AX1296" s="34">
        <f>ROUND(G1296*AP1296,2)</f>
        <v>0</v>
      </c>
      <c r="AY1296" s="65" t="s">
        <v>2294</v>
      </c>
      <c r="AZ1296" s="65" t="s">
        <v>2257</v>
      </c>
      <c r="BA1296" s="46" t="s">
        <v>2258</v>
      </c>
      <c r="BC1296" s="34">
        <f>AW1296+AX1296</f>
        <v>0</v>
      </c>
      <c r="BD1296" s="34">
        <f>H1296/(100-BE1296)*100</f>
        <v>0</v>
      </c>
      <c r="BE1296" s="34">
        <v>0</v>
      </c>
      <c r="BF1296" s="34">
        <f>1296</f>
        <v>1296</v>
      </c>
      <c r="BH1296" s="34">
        <f>G1296*AO1296</f>
        <v>0</v>
      </c>
      <c r="BI1296" s="34">
        <f>G1296*AP1296</f>
        <v>0</v>
      </c>
      <c r="BJ1296" s="34">
        <f>G1296*H1296</f>
        <v>0</v>
      </c>
      <c r="BK1296" s="34"/>
      <c r="BL1296" s="34"/>
      <c r="BW1296" s="34">
        <v>21</v>
      </c>
      <c r="BX1296" s="3" t="s">
        <v>2422</v>
      </c>
    </row>
    <row r="1297" spans="1:76" x14ac:dyDescent="0.25">
      <c r="A1297" s="66"/>
      <c r="D1297" s="67" t="s">
        <v>198</v>
      </c>
      <c r="E1297" s="67" t="s">
        <v>4</v>
      </c>
      <c r="G1297" s="68">
        <v>10</v>
      </c>
      <c r="K1297" s="59"/>
    </row>
    <row r="1298" spans="1:76" ht="25.5" x14ac:dyDescent="0.25">
      <c r="A1298" s="1" t="s">
        <v>2423</v>
      </c>
      <c r="B1298" s="2" t="s">
        <v>91</v>
      </c>
      <c r="C1298" s="2" t="s">
        <v>2424</v>
      </c>
      <c r="D1298" s="86" t="s">
        <v>2425</v>
      </c>
      <c r="E1298" s="81"/>
      <c r="F1298" s="2" t="s">
        <v>258</v>
      </c>
      <c r="G1298" s="34">
        <v>12</v>
      </c>
      <c r="H1298" s="64">
        <v>0</v>
      </c>
      <c r="I1298" s="34">
        <f>ROUND(G1298*H1298,2)</f>
        <v>0</v>
      </c>
      <c r="J1298" s="65" t="s">
        <v>133</v>
      </c>
      <c r="K1298" s="59"/>
      <c r="Z1298" s="34">
        <f>ROUND(IF(AQ1298="5",BJ1298,0),2)</f>
        <v>0</v>
      </c>
      <c r="AB1298" s="34">
        <f>ROUND(IF(AQ1298="1",BH1298,0),2)</f>
        <v>0</v>
      </c>
      <c r="AC1298" s="34">
        <f>ROUND(IF(AQ1298="1",BI1298,0),2)</f>
        <v>0</v>
      </c>
      <c r="AD1298" s="34">
        <f>ROUND(IF(AQ1298="7",BH1298,0),2)</f>
        <v>0</v>
      </c>
      <c r="AE1298" s="34">
        <f>ROUND(IF(AQ1298="7",BI1298,0),2)</f>
        <v>0</v>
      </c>
      <c r="AF1298" s="34">
        <f>ROUND(IF(AQ1298="2",BH1298,0),2)</f>
        <v>0</v>
      </c>
      <c r="AG1298" s="34">
        <f>ROUND(IF(AQ1298="2",BI1298,0),2)</f>
        <v>0</v>
      </c>
      <c r="AH1298" s="34">
        <f>ROUND(IF(AQ1298="0",BJ1298,0),2)</f>
        <v>0</v>
      </c>
      <c r="AI1298" s="46" t="s">
        <v>91</v>
      </c>
      <c r="AJ1298" s="34">
        <f>IF(AN1298=0,I1298,0)</f>
        <v>0</v>
      </c>
      <c r="AK1298" s="34">
        <f>IF(AN1298=12,I1298,0)</f>
        <v>0</v>
      </c>
      <c r="AL1298" s="34">
        <f>IF(AN1298=21,I1298,0)</f>
        <v>0</v>
      </c>
      <c r="AN1298" s="34">
        <v>21</v>
      </c>
      <c r="AO1298" s="34">
        <f>H1298*1</f>
        <v>0</v>
      </c>
      <c r="AP1298" s="34">
        <f>H1298*(1-1)</f>
        <v>0</v>
      </c>
      <c r="AQ1298" s="65" t="s">
        <v>140</v>
      </c>
      <c r="AV1298" s="34">
        <f>ROUND(AW1298+AX1298,2)</f>
        <v>0</v>
      </c>
      <c r="AW1298" s="34">
        <f>ROUND(G1298*AO1298,2)</f>
        <v>0</v>
      </c>
      <c r="AX1298" s="34">
        <f>ROUND(G1298*AP1298,2)</f>
        <v>0</v>
      </c>
      <c r="AY1298" s="65" t="s">
        <v>2294</v>
      </c>
      <c r="AZ1298" s="65" t="s">
        <v>2257</v>
      </c>
      <c r="BA1298" s="46" t="s">
        <v>2258</v>
      </c>
      <c r="BC1298" s="34">
        <f>AW1298+AX1298</f>
        <v>0</v>
      </c>
      <c r="BD1298" s="34">
        <f>H1298/(100-BE1298)*100</f>
        <v>0</v>
      </c>
      <c r="BE1298" s="34">
        <v>0</v>
      </c>
      <c r="BF1298" s="34">
        <f>1298</f>
        <v>1298</v>
      </c>
      <c r="BH1298" s="34">
        <f>G1298*AO1298</f>
        <v>0</v>
      </c>
      <c r="BI1298" s="34">
        <f>G1298*AP1298</f>
        <v>0</v>
      </c>
      <c r="BJ1298" s="34">
        <f>G1298*H1298</f>
        <v>0</v>
      </c>
      <c r="BK1298" s="34"/>
      <c r="BL1298" s="34"/>
      <c r="BW1298" s="34">
        <v>21</v>
      </c>
      <c r="BX1298" s="3" t="s">
        <v>2425</v>
      </c>
    </row>
    <row r="1299" spans="1:76" x14ac:dyDescent="0.25">
      <c r="A1299" s="66"/>
      <c r="D1299" s="67" t="s">
        <v>138</v>
      </c>
      <c r="E1299" s="67" t="s">
        <v>4</v>
      </c>
      <c r="G1299" s="68">
        <v>12</v>
      </c>
      <c r="K1299" s="59"/>
    </row>
    <row r="1300" spans="1:76" x14ac:dyDescent="0.25">
      <c r="A1300" s="1" t="s">
        <v>2426</v>
      </c>
      <c r="B1300" s="2" t="s">
        <v>91</v>
      </c>
      <c r="C1300" s="2" t="s">
        <v>2427</v>
      </c>
      <c r="D1300" s="86" t="s">
        <v>2428</v>
      </c>
      <c r="E1300" s="81"/>
      <c r="F1300" s="2" t="s">
        <v>1190</v>
      </c>
      <c r="G1300" s="34">
        <v>1</v>
      </c>
      <c r="H1300" s="64">
        <v>0</v>
      </c>
      <c r="I1300" s="34">
        <f>ROUND(G1300*H1300,2)</f>
        <v>0</v>
      </c>
      <c r="J1300" s="65" t="s">
        <v>133</v>
      </c>
      <c r="K1300" s="59"/>
      <c r="Z1300" s="34">
        <f>ROUND(IF(AQ1300="5",BJ1300,0),2)</f>
        <v>0</v>
      </c>
      <c r="AB1300" s="34">
        <f>ROUND(IF(AQ1300="1",BH1300,0),2)</f>
        <v>0</v>
      </c>
      <c r="AC1300" s="34">
        <f>ROUND(IF(AQ1300="1",BI1300,0),2)</f>
        <v>0</v>
      </c>
      <c r="AD1300" s="34">
        <f>ROUND(IF(AQ1300="7",BH1300,0),2)</f>
        <v>0</v>
      </c>
      <c r="AE1300" s="34">
        <f>ROUND(IF(AQ1300="7",BI1300,0),2)</f>
        <v>0</v>
      </c>
      <c r="AF1300" s="34">
        <f>ROUND(IF(AQ1300="2",BH1300,0),2)</f>
        <v>0</v>
      </c>
      <c r="AG1300" s="34">
        <f>ROUND(IF(AQ1300="2",BI1300,0),2)</f>
        <v>0</v>
      </c>
      <c r="AH1300" s="34">
        <f>ROUND(IF(AQ1300="0",BJ1300,0),2)</f>
        <v>0</v>
      </c>
      <c r="AI1300" s="46" t="s">
        <v>91</v>
      </c>
      <c r="AJ1300" s="34">
        <f>IF(AN1300=0,I1300,0)</f>
        <v>0</v>
      </c>
      <c r="AK1300" s="34">
        <f>IF(AN1300=12,I1300,0)</f>
        <v>0</v>
      </c>
      <c r="AL1300" s="34">
        <f>IF(AN1300=21,I1300,0)</f>
        <v>0</v>
      </c>
      <c r="AN1300" s="34">
        <v>21</v>
      </c>
      <c r="AO1300" s="34">
        <f>H1300*1</f>
        <v>0</v>
      </c>
      <c r="AP1300" s="34">
        <f>H1300*(1-1)</f>
        <v>0</v>
      </c>
      <c r="AQ1300" s="65" t="s">
        <v>140</v>
      </c>
      <c r="AV1300" s="34">
        <f>ROUND(AW1300+AX1300,2)</f>
        <v>0</v>
      </c>
      <c r="AW1300" s="34">
        <f>ROUND(G1300*AO1300,2)</f>
        <v>0</v>
      </c>
      <c r="AX1300" s="34">
        <f>ROUND(G1300*AP1300,2)</f>
        <v>0</v>
      </c>
      <c r="AY1300" s="65" t="s">
        <v>2294</v>
      </c>
      <c r="AZ1300" s="65" t="s">
        <v>2257</v>
      </c>
      <c r="BA1300" s="46" t="s">
        <v>2258</v>
      </c>
      <c r="BC1300" s="34">
        <f>AW1300+AX1300</f>
        <v>0</v>
      </c>
      <c r="BD1300" s="34">
        <f>H1300/(100-BE1300)*100</f>
        <v>0</v>
      </c>
      <c r="BE1300" s="34">
        <v>0</v>
      </c>
      <c r="BF1300" s="34">
        <f>1300</f>
        <v>1300</v>
      </c>
      <c r="BH1300" s="34">
        <f>G1300*AO1300</f>
        <v>0</v>
      </c>
      <c r="BI1300" s="34">
        <f>G1300*AP1300</f>
        <v>0</v>
      </c>
      <c r="BJ1300" s="34">
        <f>G1300*H1300</f>
        <v>0</v>
      </c>
      <c r="BK1300" s="34"/>
      <c r="BL1300" s="34"/>
      <c r="BW1300" s="34">
        <v>21</v>
      </c>
      <c r="BX1300" s="3" t="s">
        <v>2428</v>
      </c>
    </row>
    <row r="1301" spans="1:76" x14ac:dyDescent="0.25">
      <c r="A1301" s="66"/>
      <c r="D1301" s="67" t="s">
        <v>129</v>
      </c>
      <c r="E1301" s="67" t="s">
        <v>4</v>
      </c>
      <c r="G1301" s="68">
        <v>1</v>
      </c>
      <c r="K1301" s="59"/>
    </row>
    <row r="1302" spans="1:76" x14ac:dyDescent="0.25">
      <c r="A1302" s="60" t="s">
        <v>4</v>
      </c>
      <c r="B1302" s="61" t="s">
        <v>91</v>
      </c>
      <c r="C1302" s="61" t="s">
        <v>1838</v>
      </c>
      <c r="D1302" s="167" t="s">
        <v>1839</v>
      </c>
      <c r="E1302" s="168"/>
      <c r="F1302" s="62" t="s">
        <v>79</v>
      </c>
      <c r="G1302" s="62" t="s">
        <v>79</v>
      </c>
      <c r="H1302" s="63" t="s">
        <v>79</v>
      </c>
      <c r="I1302" s="39">
        <f>SUM(I1303:I1343)</f>
        <v>0</v>
      </c>
      <c r="J1302" s="46" t="s">
        <v>4</v>
      </c>
      <c r="K1302" s="59"/>
      <c r="AI1302" s="46" t="s">
        <v>91</v>
      </c>
      <c r="AS1302" s="39">
        <f>SUM(AJ1303:AJ1343)</f>
        <v>0</v>
      </c>
      <c r="AT1302" s="39">
        <f>SUM(AK1303:AK1343)</f>
        <v>0</v>
      </c>
      <c r="AU1302" s="39">
        <f>SUM(AL1303:AL1343)</f>
        <v>0</v>
      </c>
    </row>
    <row r="1303" spans="1:76" x14ac:dyDescent="0.25">
      <c r="A1303" s="1" t="s">
        <v>2429</v>
      </c>
      <c r="B1303" s="2" t="s">
        <v>91</v>
      </c>
      <c r="C1303" s="2" t="s">
        <v>2430</v>
      </c>
      <c r="D1303" s="86" t="s">
        <v>2431</v>
      </c>
      <c r="E1303" s="81"/>
      <c r="F1303" s="2" t="s">
        <v>2269</v>
      </c>
      <c r="G1303" s="34">
        <v>3</v>
      </c>
      <c r="H1303" s="64">
        <v>0</v>
      </c>
      <c r="I1303" s="34">
        <f t="shared" ref="I1303:I1328" si="132">ROUND(G1303*H1303,2)</f>
        <v>0</v>
      </c>
      <c r="J1303" s="65" t="s">
        <v>133</v>
      </c>
      <c r="K1303" s="59"/>
      <c r="Z1303" s="34">
        <f t="shared" ref="Z1303:Z1328" si="133">ROUND(IF(AQ1303="5",BJ1303,0),2)</f>
        <v>0</v>
      </c>
      <c r="AB1303" s="34">
        <f t="shared" ref="AB1303:AB1328" si="134">ROUND(IF(AQ1303="1",BH1303,0),2)</f>
        <v>0</v>
      </c>
      <c r="AC1303" s="34">
        <f t="shared" ref="AC1303:AC1328" si="135">ROUND(IF(AQ1303="1",BI1303,0),2)</f>
        <v>0</v>
      </c>
      <c r="AD1303" s="34">
        <f t="shared" ref="AD1303:AD1328" si="136">ROUND(IF(AQ1303="7",BH1303,0),2)</f>
        <v>0</v>
      </c>
      <c r="AE1303" s="34">
        <f t="shared" ref="AE1303:AE1328" si="137">ROUND(IF(AQ1303="7",BI1303,0),2)</f>
        <v>0</v>
      </c>
      <c r="AF1303" s="34">
        <f t="shared" ref="AF1303:AF1328" si="138">ROUND(IF(AQ1303="2",BH1303,0),2)</f>
        <v>0</v>
      </c>
      <c r="AG1303" s="34">
        <f t="shared" ref="AG1303:AG1328" si="139">ROUND(IF(AQ1303="2",BI1303,0),2)</f>
        <v>0</v>
      </c>
      <c r="AH1303" s="34">
        <f t="shared" ref="AH1303:AH1328" si="140">ROUND(IF(AQ1303="0",BJ1303,0),2)</f>
        <v>0</v>
      </c>
      <c r="AI1303" s="46" t="s">
        <v>91</v>
      </c>
      <c r="AJ1303" s="34">
        <f t="shared" ref="AJ1303:AJ1328" si="141">IF(AN1303=0,I1303,0)</f>
        <v>0</v>
      </c>
      <c r="AK1303" s="34">
        <f t="shared" ref="AK1303:AK1328" si="142">IF(AN1303=12,I1303,0)</f>
        <v>0</v>
      </c>
      <c r="AL1303" s="34">
        <f t="shared" ref="AL1303:AL1328" si="143">IF(AN1303=21,I1303,0)</f>
        <v>0</v>
      </c>
      <c r="AN1303" s="34">
        <v>21</v>
      </c>
      <c r="AO1303" s="34">
        <f t="shared" ref="AO1303:AO1327" si="144">H1303*0</f>
        <v>0</v>
      </c>
      <c r="AP1303" s="34">
        <f t="shared" ref="AP1303:AP1327" si="145">H1303*(1-0)</f>
        <v>0</v>
      </c>
      <c r="AQ1303" s="65" t="s">
        <v>129</v>
      </c>
      <c r="AV1303" s="34">
        <f t="shared" ref="AV1303:AV1328" si="146">ROUND(AW1303+AX1303,2)</f>
        <v>0</v>
      </c>
      <c r="AW1303" s="34">
        <f t="shared" ref="AW1303:AW1328" si="147">ROUND(G1303*AO1303,2)</f>
        <v>0</v>
      </c>
      <c r="AX1303" s="34">
        <f t="shared" ref="AX1303:AX1328" si="148">ROUND(G1303*AP1303,2)</f>
        <v>0</v>
      </c>
      <c r="AY1303" s="65" t="s">
        <v>1843</v>
      </c>
      <c r="AZ1303" s="65" t="s">
        <v>2257</v>
      </c>
      <c r="BA1303" s="46" t="s">
        <v>2258</v>
      </c>
      <c r="BC1303" s="34">
        <f t="shared" ref="BC1303:BC1328" si="149">AW1303+AX1303</f>
        <v>0</v>
      </c>
      <c r="BD1303" s="34">
        <f t="shared" ref="BD1303:BD1328" si="150">H1303/(100-BE1303)*100</f>
        <v>0</v>
      </c>
      <c r="BE1303" s="34">
        <v>0</v>
      </c>
      <c r="BF1303" s="34">
        <f>1303</f>
        <v>1303</v>
      </c>
      <c r="BH1303" s="34">
        <f t="shared" ref="BH1303:BH1328" si="151">G1303*AO1303</f>
        <v>0</v>
      </c>
      <c r="BI1303" s="34">
        <f t="shared" ref="BI1303:BI1328" si="152">G1303*AP1303</f>
        <v>0</v>
      </c>
      <c r="BJ1303" s="34">
        <f t="shared" ref="BJ1303:BJ1328" si="153">G1303*H1303</f>
        <v>0</v>
      </c>
      <c r="BK1303" s="34"/>
      <c r="BL1303" s="34"/>
      <c r="BW1303" s="34">
        <v>21</v>
      </c>
      <c r="BX1303" s="3" t="s">
        <v>2431</v>
      </c>
    </row>
    <row r="1304" spans="1:76" x14ac:dyDescent="0.25">
      <c r="A1304" s="1" t="s">
        <v>2432</v>
      </c>
      <c r="B1304" s="2" t="s">
        <v>91</v>
      </c>
      <c r="C1304" s="2" t="s">
        <v>2433</v>
      </c>
      <c r="D1304" s="86" t="s">
        <v>2434</v>
      </c>
      <c r="E1304" s="81"/>
      <c r="F1304" s="2" t="s">
        <v>2269</v>
      </c>
      <c r="G1304" s="34">
        <v>3</v>
      </c>
      <c r="H1304" s="64">
        <v>0</v>
      </c>
      <c r="I1304" s="34">
        <f t="shared" si="132"/>
        <v>0</v>
      </c>
      <c r="J1304" s="65" t="s">
        <v>133</v>
      </c>
      <c r="K1304" s="59"/>
      <c r="Z1304" s="34">
        <f t="shared" si="133"/>
        <v>0</v>
      </c>
      <c r="AB1304" s="34">
        <f t="shared" si="134"/>
        <v>0</v>
      </c>
      <c r="AC1304" s="34">
        <f t="shared" si="135"/>
        <v>0</v>
      </c>
      <c r="AD1304" s="34">
        <f t="shared" si="136"/>
        <v>0</v>
      </c>
      <c r="AE1304" s="34">
        <f t="shared" si="137"/>
        <v>0</v>
      </c>
      <c r="AF1304" s="34">
        <f t="shared" si="138"/>
        <v>0</v>
      </c>
      <c r="AG1304" s="34">
        <f t="shared" si="139"/>
        <v>0</v>
      </c>
      <c r="AH1304" s="34">
        <f t="shared" si="140"/>
        <v>0</v>
      </c>
      <c r="AI1304" s="46" t="s">
        <v>91</v>
      </c>
      <c r="AJ1304" s="34">
        <f t="shared" si="141"/>
        <v>0</v>
      </c>
      <c r="AK1304" s="34">
        <f t="shared" si="142"/>
        <v>0</v>
      </c>
      <c r="AL1304" s="34">
        <f t="shared" si="143"/>
        <v>0</v>
      </c>
      <c r="AN1304" s="34">
        <v>21</v>
      </c>
      <c r="AO1304" s="34">
        <f t="shared" si="144"/>
        <v>0</v>
      </c>
      <c r="AP1304" s="34">
        <f t="shared" si="145"/>
        <v>0</v>
      </c>
      <c r="AQ1304" s="65" t="s">
        <v>129</v>
      </c>
      <c r="AV1304" s="34">
        <f t="shared" si="146"/>
        <v>0</v>
      </c>
      <c r="AW1304" s="34">
        <f t="shared" si="147"/>
        <v>0</v>
      </c>
      <c r="AX1304" s="34">
        <f t="shared" si="148"/>
        <v>0</v>
      </c>
      <c r="AY1304" s="65" t="s">
        <v>1843</v>
      </c>
      <c r="AZ1304" s="65" t="s">
        <v>2257</v>
      </c>
      <c r="BA1304" s="46" t="s">
        <v>2258</v>
      </c>
      <c r="BC1304" s="34">
        <f t="shared" si="149"/>
        <v>0</v>
      </c>
      <c r="BD1304" s="34">
        <f t="shared" si="150"/>
        <v>0</v>
      </c>
      <c r="BE1304" s="34">
        <v>0</v>
      </c>
      <c r="BF1304" s="34">
        <f>1304</f>
        <v>1304</v>
      </c>
      <c r="BH1304" s="34">
        <f t="shared" si="151"/>
        <v>0</v>
      </c>
      <c r="BI1304" s="34">
        <f t="shared" si="152"/>
        <v>0</v>
      </c>
      <c r="BJ1304" s="34">
        <f t="shared" si="153"/>
        <v>0</v>
      </c>
      <c r="BK1304" s="34"/>
      <c r="BL1304" s="34"/>
      <c r="BW1304" s="34">
        <v>21</v>
      </c>
      <c r="BX1304" s="3" t="s">
        <v>2434</v>
      </c>
    </row>
    <row r="1305" spans="1:76" x14ac:dyDescent="0.25">
      <c r="A1305" s="1" t="s">
        <v>2435</v>
      </c>
      <c r="B1305" s="2" t="s">
        <v>91</v>
      </c>
      <c r="C1305" s="2" t="s">
        <v>2436</v>
      </c>
      <c r="D1305" s="86" t="s">
        <v>2437</v>
      </c>
      <c r="E1305" s="81"/>
      <c r="F1305" s="2" t="s">
        <v>2269</v>
      </c>
      <c r="G1305" s="34">
        <v>14</v>
      </c>
      <c r="H1305" s="64">
        <v>0</v>
      </c>
      <c r="I1305" s="34">
        <f t="shared" si="132"/>
        <v>0</v>
      </c>
      <c r="J1305" s="65" t="s">
        <v>133</v>
      </c>
      <c r="K1305" s="59"/>
      <c r="Z1305" s="34">
        <f t="shared" si="133"/>
        <v>0</v>
      </c>
      <c r="AB1305" s="34">
        <f t="shared" si="134"/>
        <v>0</v>
      </c>
      <c r="AC1305" s="34">
        <f t="shared" si="135"/>
        <v>0</v>
      </c>
      <c r="AD1305" s="34">
        <f t="shared" si="136"/>
        <v>0</v>
      </c>
      <c r="AE1305" s="34">
        <f t="shared" si="137"/>
        <v>0</v>
      </c>
      <c r="AF1305" s="34">
        <f t="shared" si="138"/>
        <v>0</v>
      </c>
      <c r="AG1305" s="34">
        <f t="shared" si="139"/>
        <v>0</v>
      </c>
      <c r="AH1305" s="34">
        <f t="shared" si="140"/>
        <v>0</v>
      </c>
      <c r="AI1305" s="46" t="s">
        <v>91</v>
      </c>
      <c r="AJ1305" s="34">
        <f t="shared" si="141"/>
        <v>0</v>
      </c>
      <c r="AK1305" s="34">
        <f t="shared" si="142"/>
        <v>0</v>
      </c>
      <c r="AL1305" s="34">
        <f t="shared" si="143"/>
        <v>0</v>
      </c>
      <c r="AN1305" s="34">
        <v>21</v>
      </c>
      <c r="AO1305" s="34">
        <f t="shared" si="144"/>
        <v>0</v>
      </c>
      <c r="AP1305" s="34">
        <f t="shared" si="145"/>
        <v>0</v>
      </c>
      <c r="AQ1305" s="65" t="s">
        <v>140</v>
      </c>
      <c r="AV1305" s="34">
        <f t="shared" si="146"/>
        <v>0</v>
      </c>
      <c r="AW1305" s="34">
        <f t="shared" si="147"/>
        <v>0</v>
      </c>
      <c r="AX1305" s="34">
        <f t="shared" si="148"/>
        <v>0</v>
      </c>
      <c r="AY1305" s="65" t="s">
        <v>1843</v>
      </c>
      <c r="AZ1305" s="65" t="s">
        <v>2257</v>
      </c>
      <c r="BA1305" s="46" t="s">
        <v>2258</v>
      </c>
      <c r="BC1305" s="34">
        <f t="shared" si="149"/>
        <v>0</v>
      </c>
      <c r="BD1305" s="34">
        <f t="shared" si="150"/>
        <v>0</v>
      </c>
      <c r="BE1305" s="34">
        <v>0</v>
      </c>
      <c r="BF1305" s="34">
        <f>1305</f>
        <v>1305</v>
      </c>
      <c r="BH1305" s="34">
        <f t="shared" si="151"/>
        <v>0</v>
      </c>
      <c r="BI1305" s="34">
        <f t="shared" si="152"/>
        <v>0</v>
      </c>
      <c r="BJ1305" s="34">
        <f t="shared" si="153"/>
        <v>0</v>
      </c>
      <c r="BK1305" s="34"/>
      <c r="BL1305" s="34"/>
      <c r="BW1305" s="34">
        <v>21</v>
      </c>
      <c r="BX1305" s="3" t="s">
        <v>2437</v>
      </c>
    </row>
    <row r="1306" spans="1:76" x14ac:dyDescent="0.25">
      <c r="A1306" s="1" t="s">
        <v>2438</v>
      </c>
      <c r="B1306" s="2" t="s">
        <v>91</v>
      </c>
      <c r="C1306" s="2" t="s">
        <v>2439</v>
      </c>
      <c r="D1306" s="86" t="s">
        <v>2440</v>
      </c>
      <c r="E1306" s="81"/>
      <c r="F1306" s="2" t="s">
        <v>2269</v>
      </c>
      <c r="G1306" s="34">
        <v>56</v>
      </c>
      <c r="H1306" s="64">
        <v>0</v>
      </c>
      <c r="I1306" s="34">
        <f t="shared" si="132"/>
        <v>0</v>
      </c>
      <c r="J1306" s="65" t="s">
        <v>133</v>
      </c>
      <c r="K1306" s="59"/>
      <c r="Z1306" s="34">
        <f t="shared" si="133"/>
        <v>0</v>
      </c>
      <c r="AB1306" s="34">
        <f t="shared" si="134"/>
        <v>0</v>
      </c>
      <c r="AC1306" s="34">
        <f t="shared" si="135"/>
        <v>0</v>
      </c>
      <c r="AD1306" s="34">
        <f t="shared" si="136"/>
        <v>0</v>
      </c>
      <c r="AE1306" s="34">
        <f t="shared" si="137"/>
        <v>0</v>
      </c>
      <c r="AF1306" s="34">
        <f t="shared" si="138"/>
        <v>0</v>
      </c>
      <c r="AG1306" s="34">
        <f t="shared" si="139"/>
        <v>0</v>
      </c>
      <c r="AH1306" s="34">
        <f t="shared" si="140"/>
        <v>0</v>
      </c>
      <c r="AI1306" s="46" t="s">
        <v>91</v>
      </c>
      <c r="AJ1306" s="34">
        <f t="shared" si="141"/>
        <v>0</v>
      </c>
      <c r="AK1306" s="34">
        <f t="shared" si="142"/>
        <v>0</v>
      </c>
      <c r="AL1306" s="34">
        <f t="shared" si="143"/>
        <v>0</v>
      </c>
      <c r="AN1306" s="34">
        <v>21</v>
      </c>
      <c r="AO1306" s="34">
        <f t="shared" si="144"/>
        <v>0</v>
      </c>
      <c r="AP1306" s="34">
        <f t="shared" si="145"/>
        <v>0</v>
      </c>
      <c r="AQ1306" s="65" t="s">
        <v>129</v>
      </c>
      <c r="AV1306" s="34">
        <f t="shared" si="146"/>
        <v>0</v>
      </c>
      <c r="AW1306" s="34">
        <f t="shared" si="147"/>
        <v>0</v>
      </c>
      <c r="AX1306" s="34">
        <f t="shared" si="148"/>
        <v>0</v>
      </c>
      <c r="AY1306" s="65" t="s">
        <v>1843</v>
      </c>
      <c r="AZ1306" s="65" t="s">
        <v>2257</v>
      </c>
      <c r="BA1306" s="46" t="s">
        <v>2258</v>
      </c>
      <c r="BC1306" s="34">
        <f t="shared" si="149"/>
        <v>0</v>
      </c>
      <c r="BD1306" s="34">
        <f t="shared" si="150"/>
        <v>0</v>
      </c>
      <c r="BE1306" s="34">
        <v>0</v>
      </c>
      <c r="BF1306" s="34">
        <f>1306</f>
        <v>1306</v>
      </c>
      <c r="BH1306" s="34">
        <f t="shared" si="151"/>
        <v>0</v>
      </c>
      <c r="BI1306" s="34">
        <f t="shared" si="152"/>
        <v>0</v>
      </c>
      <c r="BJ1306" s="34">
        <f t="shared" si="153"/>
        <v>0</v>
      </c>
      <c r="BK1306" s="34"/>
      <c r="BL1306" s="34"/>
      <c r="BW1306" s="34">
        <v>21</v>
      </c>
      <c r="BX1306" s="3" t="s">
        <v>2440</v>
      </c>
    </row>
    <row r="1307" spans="1:76" ht="25.5" x14ac:dyDescent="0.25">
      <c r="A1307" s="1" t="s">
        <v>2441</v>
      </c>
      <c r="B1307" s="2" t="s">
        <v>91</v>
      </c>
      <c r="C1307" s="2" t="s">
        <v>2442</v>
      </c>
      <c r="D1307" s="86" t="s">
        <v>2443</v>
      </c>
      <c r="E1307" s="81"/>
      <c r="F1307" s="2" t="s">
        <v>2269</v>
      </c>
      <c r="G1307" s="34">
        <v>45</v>
      </c>
      <c r="H1307" s="64">
        <v>0</v>
      </c>
      <c r="I1307" s="34">
        <f t="shared" si="132"/>
        <v>0</v>
      </c>
      <c r="J1307" s="65" t="s">
        <v>133</v>
      </c>
      <c r="K1307" s="59"/>
      <c r="Z1307" s="34">
        <f t="shared" si="133"/>
        <v>0</v>
      </c>
      <c r="AB1307" s="34">
        <f t="shared" si="134"/>
        <v>0</v>
      </c>
      <c r="AC1307" s="34">
        <f t="shared" si="135"/>
        <v>0</v>
      </c>
      <c r="AD1307" s="34">
        <f t="shared" si="136"/>
        <v>0</v>
      </c>
      <c r="AE1307" s="34">
        <f t="shared" si="137"/>
        <v>0</v>
      </c>
      <c r="AF1307" s="34">
        <f t="shared" si="138"/>
        <v>0</v>
      </c>
      <c r="AG1307" s="34">
        <f t="shared" si="139"/>
        <v>0</v>
      </c>
      <c r="AH1307" s="34">
        <f t="shared" si="140"/>
        <v>0</v>
      </c>
      <c r="AI1307" s="46" t="s">
        <v>91</v>
      </c>
      <c r="AJ1307" s="34">
        <f t="shared" si="141"/>
        <v>0</v>
      </c>
      <c r="AK1307" s="34">
        <f t="shared" si="142"/>
        <v>0</v>
      </c>
      <c r="AL1307" s="34">
        <f t="shared" si="143"/>
        <v>0</v>
      </c>
      <c r="AN1307" s="34">
        <v>21</v>
      </c>
      <c r="AO1307" s="34">
        <f t="shared" si="144"/>
        <v>0</v>
      </c>
      <c r="AP1307" s="34">
        <f t="shared" si="145"/>
        <v>0</v>
      </c>
      <c r="AQ1307" s="65" t="s">
        <v>140</v>
      </c>
      <c r="AV1307" s="34">
        <f t="shared" si="146"/>
        <v>0</v>
      </c>
      <c r="AW1307" s="34">
        <f t="shared" si="147"/>
        <v>0</v>
      </c>
      <c r="AX1307" s="34">
        <f t="shared" si="148"/>
        <v>0</v>
      </c>
      <c r="AY1307" s="65" t="s">
        <v>1843</v>
      </c>
      <c r="AZ1307" s="65" t="s">
        <v>2257</v>
      </c>
      <c r="BA1307" s="46" t="s">
        <v>2258</v>
      </c>
      <c r="BC1307" s="34">
        <f t="shared" si="149"/>
        <v>0</v>
      </c>
      <c r="BD1307" s="34">
        <f t="shared" si="150"/>
        <v>0</v>
      </c>
      <c r="BE1307" s="34">
        <v>0</v>
      </c>
      <c r="BF1307" s="34">
        <f>1307</f>
        <v>1307</v>
      </c>
      <c r="BH1307" s="34">
        <f t="shared" si="151"/>
        <v>0</v>
      </c>
      <c r="BI1307" s="34">
        <f t="shared" si="152"/>
        <v>0</v>
      </c>
      <c r="BJ1307" s="34">
        <f t="shared" si="153"/>
        <v>0</v>
      </c>
      <c r="BK1307" s="34"/>
      <c r="BL1307" s="34"/>
      <c r="BW1307" s="34">
        <v>21</v>
      </c>
      <c r="BX1307" s="3" t="s">
        <v>2443</v>
      </c>
    </row>
    <row r="1308" spans="1:76" ht="25.5" x14ac:dyDescent="0.25">
      <c r="A1308" s="1" t="s">
        <v>2444</v>
      </c>
      <c r="B1308" s="2" t="s">
        <v>91</v>
      </c>
      <c r="C1308" s="2" t="s">
        <v>2445</v>
      </c>
      <c r="D1308" s="86" t="s">
        <v>2446</v>
      </c>
      <c r="E1308" s="81"/>
      <c r="F1308" s="2" t="s">
        <v>2269</v>
      </c>
      <c r="G1308" s="34">
        <v>79</v>
      </c>
      <c r="H1308" s="64">
        <v>0</v>
      </c>
      <c r="I1308" s="34">
        <f t="shared" si="132"/>
        <v>0</v>
      </c>
      <c r="J1308" s="65" t="s">
        <v>133</v>
      </c>
      <c r="K1308" s="59"/>
      <c r="Z1308" s="34">
        <f t="shared" si="133"/>
        <v>0</v>
      </c>
      <c r="AB1308" s="34">
        <f t="shared" si="134"/>
        <v>0</v>
      </c>
      <c r="AC1308" s="34">
        <f t="shared" si="135"/>
        <v>0</v>
      </c>
      <c r="AD1308" s="34">
        <f t="shared" si="136"/>
        <v>0</v>
      </c>
      <c r="AE1308" s="34">
        <f t="shared" si="137"/>
        <v>0</v>
      </c>
      <c r="AF1308" s="34">
        <f t="shared" si="138"/>
        <v>0</v>
      </c>
      <c r="AG1308" s="34">
        <f t="shared" si="139"/>
        <v>0</v>
      </c>
      <c r="AH1308" s="34">
        <f t="shared" si="140"/>
        <v>0</v>
      </c>
      <c r="AI1308" s="46" t="s">
        <v>91</v>
      </c>
      <c r="AJ1308" s="34">
        <f t="shared" si="141"/>
        <v>0</v>
      </c>
      <c r="AK1308" s="34">
        <f t="shared" si="142"/>
        <v>0</v>
      </c>
      <c r="AL1308" s="34">
        <f t="shared" si="143"/>
        <v>0</v>
      </c>
      <c r="AN1308" s="34">
        <v>21</v>
      </c>
      <c r="AO1308" s="34">
        <f t="shared" si="144"/>
        <v>0</v>
      </c>
      <c r="AP1308" s="34">
        <f t="shared" si="145"/>
        <v>0</v>
      </c>
      <c r="AQ1308" s="65" t="s">
        <v>129</v>
      </c>
      <c r="AV1308" s="34">
        <f t="shared" si="146"/>
        <v>0</v>
      </c>
      <c r="AW1308" s="34">
        <f t="shared" si="147"/>
        <v>0</v>
      </c>
      <c r="AX1308" s="34">
        <f t="shared" si="148"/>
        <v>0</v>
      </c>
      <c r="AY1308" s="65" t="s">
        <v>1843</v>
      </c>
      <c r="AZ1308" s="65" t="s">
        <v>2257</v>
      </c>
      <c r="BA1308" s="46" t="s">
        <v>2258</v>
      </c>
      <c r="BC1308" s="34">
        <f t="shared" si="149"/>
        <v>0</v>
      </c>
      <c r="BD1308" s="34">
        <f t="shared" si="150"/>
        <v>0</v>
      </c>
      <c r="BE1308" s="34">
        <v>0</v>
      </c>
      <c r="BF1308" s="34">
        <f>1308</f>
        <v>1308</v>
      </c>
      <c r="BH1308" s="34">
        <f t="shared" si="151"/>
        <v>0</v>
      </c>
      <c r="BI1308" s="34">
        <f t="shared" si="152"/>
        <v>0</v>
      </c>
      <c r="BJ1308" s="34">
        <f t="shared" si="153"/>
        <v>0</v>
      </c>
      <c r="BK1308" s="34"/>
      <c r="BL1308" s="34"/>
      <c r="BW1308" s="34">
        <v>21</v>
      </c>
      <c r="BX1308" s="3" t="s">
        <v>2446</v>
      </c>
    </row>
    <row r="1309" spans="1:76" x14ac:dyDescent="0.25">
      <c r="A1309" s="1" t="s">
        <v>2447</v>
      </c>
      <c r="B1309" s="2" t="s">
        <v>91</v>
      </c>
      <c r="C1309" s="2" t="s">
        <v>2448</v>
      </c>
      <c r="D1309" s="86" t="s">
        <v>2449</v>
      </c>
      <c r="E1309" s="81"/>
      <c r="F1309" s="2" t="s">
        <v>2269</v>
      </c>
      <c r="G1309" s="34">
        <v>3</v>
      </c>
      <c r="H1309" s="64">
        <v>0</v>
      </c>
      <c r="I1309" s="34">
        <f t="shared" si="132"/>
        <v>0</v>
      </c>
      <c r="J1309" s="65" t="s">
        <v>133</v>
      </c>
      <c r="K1309" s="59"/>
      <c r="Z1309" s="34">
        <f t="shared" si="133"/>
        <v>0</v>
      </c>
      <c r="AB1309" s="34">
        <f t="shared" si="134"/>
        <v>0</v>
      </c>
      <c r="AC1309" s="34">
        <f t="shared" si="135"/>
        <v>0</v>
      </c>
      <c r="AD1309" s="34">
        <f t="shared" si="136"/>
        <v>0</v>
      </c>
      <c r="AE1309" s="34">
        <f t="shared" si="137"/>
        <v>0</v>
      </c>
      <c r="AF1309" s="34">
        <f t="shared" si="138"/>
        <v>0</v>
      </c>
      <c r="AG1309" s="34">
        <f t="shared" si="139"/>
        <v>0</v>
      </c>
      <c r="AH1309" s="34">
        <f t="shared" si="140"/>
        <v>0</v>
      </c>
      <c r="AI1309" s="46" t="s">
        <v>91</v>
      </c>
      <c r="AJ1309" s="34">
        <f t="shared" si="141"/>
        <v>0</v>
      </c>
      <c r="AK1309" s="34">
        <f t="shared" si="142"/>
        <v>0</v>
      </c>
      <c r="AL1309" s="34">
        <f t="shared" si="143"/>
        <v>0</v>
      </c>
      <c r="AN1309" s="34">
        <v>21</v>
      </c>
      <c r="AO1309" s="34">
        <f t="shared" si="144"/>
        <v>0</v>
      </c>
      <c r="AP1309" s="34">
        <f t="shared" si="145"/>
        <v>0</v>
      </c>
      <c r="AQ1309" s="65" t="s">
        <v>129</v>
      </c>
      <c r="AV1309" s="34">
        <f t="shared" si="146"/>
        <v>0</v>
      </c>
      <c r="AW1309" s="34">
        <f t="shared" si="147"/>
        <v>0</v>
      </c>
      <c r="AX1309" s="34">
        <f t="shared" si="148"/>
        <v>0</v>
      </c>
      <c r="AY1309" s="65" t="s">
        <v>1843</v>
      </c>
      <c r="AZ1309" s="65" t="s">
        <v>2257</v>
      </c>
      <c r="BA1309" s="46" t="s">
        <v>2258</v>
      </c>
      <c r="BC1309" s="34">
        <f t="shared" si="149"/>
        <v>0</v>
      </c>
      <c r="BD1309" s="34">
        <f t="shared" si="150"/>
        <v>0</v>
      </c>
      <c r="BE1309" s="34">
        <v>0</v>
      </c>
      <c r="BF1309" s="34">
        <f>1309</f>
        <v>1309</v>
      </c>
      <c r="BH1309" s="34">
        <f t="shared" si="151"/>
        <v>0</v>
      </c>
      <c r="BI1309" s="34">
        <f t="shared" si="152"/>
        <v>0</v>
      </c>
      <c r="BJ1309" s="34">
        <f t="shared" si="153"/>
        <v>0</v>
      </c>
      <c r="BK1309" s="34"/>
      <c r="BL1309" s="34"/>
      <c r="BW1309" s="34">
        <v>21</v>
      </c>
      <c r="BX1309" s="3" t="s">
        <v>2449</v>
      </c>
    </row>
    <row r="1310" spans="1:76" ht="25.5" x14ac:dyDescent="0.25">
      <c r="A1310" s="1" t="s">
        <v>2450</v>
      </c>
      <c r="B1310" s="2" t="s">
        <v>91</v>
      </c>
      <c r="C1310" s="2" t="s">
        <v>2451</v>
      </c>
      <c r="D1310" s="86" t="s">
        <v>2452</v>
      </c>
      <c r="E1310" s="81"/>
      <c r="F1310" s="2" t="s">
        <v>2269</v>
      </c>
      <c r="G1310" s="34">
        <v>7</v>
      </c>
      <c r="H1310" s="64">
        <v>0</v>
      </c>
      <c r="I1310" s="34">
        <f t="shared" si="132"/>
        <v>0</v>
      </c>
      <c r="J1310" s="65" t="s">
        <v>133</v>
      </c>
      <c r="K1310" s="59"/>
      <c r="Z1310" s="34">
        <f t="shared" si="133"/>
        <v>0</v>
      </c>
      <c r="AB1310" s="34">
        <f t="shared" si="134"/>
        <v>0</v>
      </c>
      <c r="AC1310" s="34">
        <f t="shared" si="135"/>
        <v>0</v>
      </c>
      <c r="AD1310" s="34">
        <f t="shared" si="136"/>
        <v>0</v>
      </c>
      <c r="AE1310" s="34">
        <f t="shared" si="137"/>
        <v>0</v>
      </c>
      <c r="AF1310" s="34">
        <f t="shared" si="138"/>
        <v>0</v>
      </c>
      <c r="AG1310" s="34">
        <f t="shared" si="139"/>
        <v>0</v>
      </c>
      <c r="AH1310" s="34">
        <f t="shared" si="140"/>
        <v>0</v>
      </c>
      <c r="AI1310" s="46" t="s">
        <v>91</v>
      </c>
      <c r="AJ1310" s="34">
        <f t="shared" si="141"/>
        <v>0</v>
      </c>
      <c r="AK1310" s="34">
        <f t="shared" si="142"/>
        <v>0</v>
      </c>
      <c r="AL1310" s="34">
        <f t="shared" si="143"/>
        <v>0</v>
      </c>
      <c r="AN1310" s="34">
        <v>21</v>
      </c>
      <c r="AO1310" s="34">
        <f t="shared" si="144"/>
        <v>0</v>
      </c>
      <c r="AP1310" s="34">
        <f t="shared" si="145"/>
        <v>0</v>
      </c>
      <c r="AQ1310" s="65" t="s">
        <v>129</v>
      </c>
      <c r="AV1310" s="34">
        <f t="shared" si="146"/>
        <v>0</v>
      </c>
      <c r="AW1310" s="34">
        <f t="shared" si="147"/>
        <v>0</v>
      </c>
      <c r="AX1310" s="34">
        <f t="shared" si="148"/>
        <v>0</v>
      </c>
      <c r="AY1310" s="65" t="s">
        <v>1843</v>
      </c>
      <c r="AZ1310" s="65" t="s">
        <v>2257</v>
      </c>
      <c r="BA1310" s="46" t="s">
        <v>2258</v>
      </c>
      <c r="BC1310" s="34">
        <f t="shared" si="149"/>
        <v>0</v>
      </c>
      <c r="BD1310" s="34">
        <f t="shared" si="150"/>
        <v>0</v>
      </c>
      <c r="BE1310" s="34">
        <v>0</v>
      </c>
      <c r="BF1310" s="34">
        <f>1310</f>
        <v>1310</v>
      </c>
      <c r="BH1310" s="34">
        <f t="shared" si="151"/>
        <v>0</v>
      </c>
      <c r="BI1310" s="34">
        <f t="shared" si="152"/>
        <v>0</v>
      </c>
      <c r="BJ1310" s="34">
        <f t="shared" si="153"/>
        <v>0</v>
      </c>
      <c r="BK1310" s="34"/>
      <c r="BL1310" s="34"/>
      <c r="BW1310" s="34">
        <v>21</v>
      </c>
      <c r="BX1310" s="3" t="s">
        <v>2452</v>
      </c>
    </row>
    <row r="1311" spans="1:76" ht="25.5" x14ac:dyDescent="0.25">
      <c r="A1311" s="1" t="s">
        <v>2453</v>
      </c>
      <c r="B1311" s="2" t="s">
        <v>91</v>
      </c>
      <c r="C1311" s="2" t="s">
        <v>2454</v>
      </c>
      <c r="D1311" s="86" t="s">
        <v>2455</v>
      </c>
      <c r="E1311" s="81"/>
      <c r="F1311" s="2" t="s">
        <v>2269</v>
      </c>
      <c r="G1311" s="34">
        <v>7</v>
      </c>
      <c r="H1311" s="64">
        <v>0</v>
      </c>
      <c r="I1311" s="34">
        <f t="shared" si="132"/>
        <v>0</v>
      </c>
      <c r="J1311" s="65" t="s">
        <v>133</v>
      </c>
      <c r="K1311" s="59"/>
      <c r="Z1311" s="34">
        <f t="shared" si="133"/>
        <v>0</v>
      </c>
      <c r="AB1311" s="34">
        <f t="shared" si="134"/>
        <v>0</v>
      </c>
      <c r="AC1311" s="34">
        <f t="shared" si="135"/>
        <v>0</v>
      </c>
      <c r="AD1311" s="34">
        <f t="shared" si="136"/>
        <v>0</v>
      </c>
      <c r="AE1311" s="34">
        <f t="shared" si="137"/>
        <v>0</v>
      </c>
      <c r="AF1311" s="34">
        <f t="shared" si="138"/>
        <v>0</v>
      </c>
      <c r="AG1311" s="34">
        <f t="shared" si="139"/>
        <v>0</v>
      </c>
      <c r="AH1311" s="34">
        <f t="shared" si="140"/>
        <v>0</v>
      </c>
      <c r="AI1311" s="46" t="s">
        <v>91</v>
      </c>
      <c r="AJ1311" s="34">
        <f t="shared" si="141"/>
        <v>0</v>
      </c>
      <c r="AK1311" s="34">
        <f t="shared" si="142"/>
        <v>0</v>
      </c>
      <c r="AL1311" s="34">
        <f t="shared" si="143"/>
        <v>0</v>
      </c>
      <c r="AN1311" s="34">
        <v>21</v>
      </c>
      <c r="AO1311" s="34">
        <f t="shared" si="144"/>
        <v>0</v>
      </c>
      <c r="AP1311" s="34">
        <f t="shared" si="145"/>
        <v>0</v>
      </c>
      <c r="AQ1311" s="65" t="s">
        <v>129</v>
      </c>
      <c r="AV1311" s="34">
        <f t="shared" si="146"/>
        <v>0</v>
      </c>
      <c r="AW1311" s="34">
        <f t="shared" si="147"/>
        <v>0</v>
      </c>
      <c r="AX1311" s="34">
        <f t="shared" si="148"/>
        <v>0</v>
      </c>
      <c r="AY1311" s="65" t="s">
        <v>1843</v>
      </c>
      <c r="AZ1311" s="65" t="s">
        <v>2257</v>
      </c>
      <c r="BA1311" s="46" t="s">
        <v>2258</v>
      </c>
      <c r="BC1311" s="34">
        <f t="shared" si="149"/>
        <v>0</v>
      </c>
      <c r="BD1311" s="34">
        <f t="shared" si="150"/>
        <v>0</v>
      </c>
      <c r="BE1311" s="34">
        <v>0</v>
      </c>
      <c r="BF1311" s="34">
        <f>1311</f>
        <v>1311</v>
      </c>
      <c r="BH1311" s="34">
        <f t="shared" si="151"/>
        <v>0</v>
      </c>
      <c r="BI1311" s="34">
        <f t="shared" si="152"/>
        <v>0</v>
      </c>
      <c r="BJ1311" s="34">
        <f t="shared" si="153"/>
        <v>0</v>
      </c>
      <c r="BK1311" s="34"/>
      <c r="BL1311" s="34"/>
      <c r="BW1311" s="34">
        <v>21</v>
      </c>
      <c r="BX1311" s="3" t="s">
        <v>2455</v>
      </c>
    </row>
    <row r="1312" spans="1:76" ht="25.5" x14ac:dyDescent="0.25">
      <c r="A1312" s="1" t="s">
        <v>2456</v>
      </c>
      <c r="B1312" s="2" t="s">
        <v>91</v>
      </c>
      <c r="C1312" s="2" t="s">
        <v>2457</v>
      </c>
      <c r="D1312" s="86" t="s">
        <v>2458</v>
      </c>
      <c r="E1312" s="81"/>
      <c r="F1312" s="2" t="s">
        <v>2269</v>
      </c>
      <c r="G1312" s="34">
        <v>19</v>
      </c>
      <c r="H1312" s="64">
        <v>0</v>
      </c>
      <c r="I1312" s="34">
        <f t="shared" si="132"/>
        <v>0</v>
      </c>
      <c r="J1312" s="65" t="s">
        <v>133</v>
      </c>
      <c r="K1312" s="59"/>
      <c r="Z1312" s="34">
        <f t="shared" si="133"/>
        <v>0</v>
      </c>
      <c r="AB1312" s="34">
        <f t="shared" si="134"/>
        <v>0</v>
      </c>
      <c r="AC1312" s="34">
        <f t="shared" si="135"/>
        <v>0</v>
      </c>
      <c r="AD1312" s="34">
        <f t="shared" si="136"/>
        <v>0</v>
      </c>
      <c r="AE1312" s="34">
        <f t="shared" si="137"/>
        <v>0</v>
      </c>
      <c r="AF1312" s="34">
        <f t="shared" si="138"/>
        <v>0</v>
      </c>
      <c r="AG1312" s="34">
        <f t="shared" si="139"/>
        <v>0</v>
      </c>
      <c r="AH1312" s="34">
        <f t="shared" si="140"/>
        <v>0</v>
      </c>
      <c r="AI1312" s="46" t="s">
        <v>91</v>
      </c>
      <c r="AJ1312" s="34">
        <f t="shared" si="141"/>
        <v>0</v>
      </c>
      <c r="AK1312" s="34">
        <f t="shared" si="142"/>
        <v>0</v>
      </c>
      <c r="AL1312" s="34">
        <f t="shared" si="143"/>
        <v>0</v>
      </c>
      <c r="AN1312" s="34">
        <v>21</v>
      </c>
      <c r="AO1312" s="34">
        <f t="shared" si="144"/>
        <v>0</v>
      </c>
      <c r="AP1312" s="34">
        <f t="shared" si="145"/>
        <v>0</v>
      </c>
      <c r="AQ1312" s="65" t="s">
        <v>140</v>
      </c>
      <c r="AV1312" s="34">
        <f t="shared" si="146"/>
        <v>0</v>
      </c>
      <c r="AW1312" s="34">
        <f t="shared" si="147"/>
        <v>0</v>
      </c>
      <c r="AX1312" s="34">
        <f t="shared" si="148"/>
        <v>0</v>
      </c>
      <c r="AY1312" s="65" t="s">
        <v>1843</v>
      </c>
      <c r="AZ1312" s="65" t="s">
        <v>2257</v>
      </c>
      <c r="BA1312" s="46" t="s">
        <v>2258</v>
      </c>
      <c r="BC1312" s="34">
        <f t="shared" si="149"/>
        <v>0</v>
      </c>
      <c r="BD1312" s="34">
        <f t="shared" si="150"/>
        <v>0</v>
      </c>
      <c r="BE1312" s="34">
        <v>0</v>
      </c>
      <c r="BF1312" s="34">
        <f>1312</f>
        <v>1312</v>
      </c>
      <c r="BH1312" s="34">
        <f t="shared" si="151"/>
        <v>0</v>
      </c>
      <c r="BI1312" s="34">
        <f t="shared" si="152"/>
        <v>0</v>
      </c>
      <c r="BJ1312" s="34">
        <f t="shared" si="153"/>
        <v>0</v>
      </c>
      <c r="BK1312" s="34"/>
      <c r="BL1312" s="34"/>
      <c r="BW1312" s="34">
        <v>21</v>
      </c>
      <c r="BX1312" s="3" t="s">
        <v>2458</v>
      </c>
    </row>
    <row r="1313" spans="1:76" ht="25.5" x14ac:dyDescent="0.25">
      <c r="A1313" s="1" t="s">
        <v>2459</v>
      </c>
      <c r="B1313" s="2" t="s">
        <v>91</v>
      </c>
      <c r="C1313" s="2" t="s">
        <v>2460</v>
      </c>
      <c r="D1313" s="86" t="s">
        <v>2461</v>
      </c>
      <c r="E1313" s="81"/>
      <c r="F1313" s="2" t="s">
        <v>2269</v>
      </c>
      <c r="G1313" s="34">
        <v>7</v>
      </c>
      <c r="H1313" s="64">
        <v>0</v>
      </c>
      <c r="I1313" s="34">
        <f t="shared" si="132"/>
        <v>0</v>
      </c>
      <c r="J1313" s="65" t="s">
        <v>133</v>
      </c>
      <c r="K1313" s="59"/>
      <c r="Z1313" s="34">
        <f t="shared" si="133"/>
        <v>0</v>
      </c>
      <c r="AB1313" s="34">
        <f t="shared" si="134"/>
        <v>0</v>
      </c>
      <c r="AC1313" s="34">
        <f t="shared" si="135"/>
        <v>0</v>
      </c>
      <c r="AD1313" s="34">
        <f t="shared" si="136"/>
        <v>0</v>
      </c>
      <c r="AE1313" s="34">
        <f t="shared" si="137"/>
        <v>0</v>
      </c>
      <c r="AF1313" s="34">
        <f t="shared" si="138"/>
        <v>0</v>
      </c>
      <c r="AG1313" s="34">
        <f t="shared" si="139"/>
        <v>0</v>
      </c>
      <c r="AH1313" s="34">
        <f t="shared" si="140"/>
        <v>0</v>
      </c>
      <c r="AI1313" s="46" t="s">
        <v>91</v>
      </c>
      <c r="AJ1313" s="34">
        <f t="shared" si="141"/>
        <v>0</v>
      </c>
      <c r="AK1313" s="34">
        <f t="shared" si="142"/>
        <v>0</v>
      </c>
      <c r="AL1313" s="34">
        <f t="shared" si="143"/>
        <v>0</v>
      </c>
      <c r="AN1313" s="34">
        <v>21</v>
      </c>
      <c r="AO1313" s="34">
        <f t="shared" si="144"/>
        <v>0</v>
      </c>
      <c r="AP1313" s="34">
        <f t="shared" si="145"/>
        <v>0</v>
      </c>
      <c r="AQ1313" s="65" t="s">
        <v>140</v>
      </c>
      <c r="AV1313" s="34">
        <f t="shared" si="146"/>
        <v>0</v>
      </c>
      <c r="AW1313" s="34">
        <f t="shared" si="147"/>
        <v>0</v>
      </c>
      <c r="AX1313" s="34">
        <f t="shared" si="148"/>
        <v>0</v>
      </c>
      <c r="AY1313" s="65" t="s">
        <v>1843</v>
      </c>
      <c r="AZ1313" s="65" t="s">
        <v>2257</v>
      </c>
      <c r="BA1313" s="46" t="s">
        <v>2258</v>
      </c>
      <c r="BC1313" s="34">
        <f t="shared" si="149"/>
        <v>0</v>
      </c>
      <c r="BD1313" s="34">
        <f t="shared" si="150"/>
        <v>0</v>
      </c>
      <c r="BE1313" s="34">
        <v>0</v>
      </c>
      <c r="BF1313" s="34">
        <f>1313</f>
        <v>1313</v>
      </c>
      <c r="BH1313" s="34">
        <f t="shared" si="151"/>
        <v>0</v>
      </c>
      <c r="BI1313" s="34">
        <f t="shared" si="152"/>
        <v>0</v>
      </c>
      <c r="BJ1313" s="34">
        <f t="shared" si="153"/>
        <v>0</v>
      </c>
      <c r="BK1313" s="34"/>
      <c r="BL1313" s="34"/>
      <c r="BW1313" s="34">
        <v>21</v>
      </c>
      <c r="BX1313" s="3" t="s">
        <v>2461</v>
      </c>
    </row>
    <row r="1314" spans="1:76" ht="25.5" x14ac:dyDescent="0.25">
      <c r="A1314" s="1" t="s">
        <v>2462</v>
      </c>
      <c r="B1314" s="2" t="s">
        <v>91</v>
      </c>
      <c r="C1314" s="2" t="s">
        <v>2463</v>
      </c>
      <c r="D1314" s="86" t="s">
        <v>2464</v>
      </c>
      <c r="E1314" s="81"/>
      <c r="F1314" s="2" t="s">
        <v>2269</v>
      </c>
      <c r="G1314" s="34">
        <v>11</v>
      </c>
      <c r="H1314" s="64">
        <v>0</v>
      </c>
      <c r="I1314" s="34">
        <f t="shared" si="132"/>
        <v>0</v>
      </c>
      <c r="J1314" s="65" t="s">
        <v>133</v>
      </c>
      <c r="K1314" s="59"/>
      <c r="Z1314" s="34">
        <f t="shared" si="133"/>
        <v>0</v>
      </c>
      <c r="AB1314" s="34">
        <f t="shared" si="134"/>
        <v>0</v>
      </c>
      <c r="AC1314" s="34">
        <f t="shared" si="135"/>
        <v>0</v>
      </c>
      <c r="AD1314" s="34">
        <f t="shared" si="136"/>
        <v>0</v>
      </c>
      <c r="AE1314" s="34">
        <f t="shared" si="137"/>
        <v>0</v>
      </c>
      <c r="AF1314" s="34">
        <f t="shared" si="138"/>
        <v>0</v>
      </c>
      <c r="AG1314" s="34">
        <f t="shared" si="139"/>
        <v>0</v>
      </c>
      <c r="AH1314" s="34">
        <f t="shared" si="140"/>
        <v>0</v>
      </c>
      <c r="AI1314" s="46" t="s">
        <v>91</v>
      </c>
      <c r="AJ1314" s="34">
        <f t="shared" si="141"/>
        <v>0</v>
      </c>
      <c r="AK1314" s="34">
        <f t="shared" si="142"/>
        <v>0</v>
      </c>
      <c r="AL1314" s="34">
        <f t="shared" si="143"/>
        <v>0</v>
      </c>
      <c r="AN1314" s="34">
        <v>21</v>
      </c>
      <c r="AO1314" s="34">
        <f t="shared" si="144"/>
        <v>0</v>
      </c>
      <c r="AP1314" s="34">
        <f t="shared" si="145"/>
        <v>0</v>
      </c>
      <c r="AQ1314" s="65" t="s">
        <v>140</v>
      </c>
      <c r="AV1314" s="34">
        <f t="shared" si="146"/>
        <v>0</v>
      </c>
      <c r="AW1314" s="34">
        <f t="shared" si="147"/>
        <v>0</v>
      </c>
      <c r="AX1314" s="34">
        <f t="shared" si="148"/>
        <v>0</v>
      </c>
      <c r="AY1314" s="65" t="s">
        <v>1843</v>
      </c>
      <c r="AZ1314" s="65" t="s">
        <v>2257</v>
      </c>
      <c r="BA1314" s="46" t="s">
        <v>2258</v>
      </c>
      <c r="BC1314" s="34">
        <f t="shared" si="149"/>
        <v>0</v>
      </c>
      <c r="BD1314" s="34">
        <f t="shared" si="150"/>
        <v>0</v>
      </c>
      <c r="BE1314" s="34">
        <v>0</v>
      </c>
      <c r="BF1314" s="34">
        <f>1314</f>
        <v>1314</v>
      </c>
      <c r="BH1314" s="34">
        <f t="shared" si="151"/>
        <v>0</v>
      </c>
      <c r="BI1314" s="34">
        <f t="shared" si="152"/>
        <v>0</v>
      </c>
      <c r="BJ1314" s="34">
        <f t="shared" si="153"/>
        <v>0</v>
      </c>
      <c r="BK1314" s="34"/>
      <c r="BL1314" s="34"/>
      <c r="BW1314" s="34">
        <v>21</v>
      </c>
      <c r="BX1314" s="3" t="s">
        <v>2464</v>
      </c>
    </row>
    <row r="1315" spans="1:76" ht="25.5" x14ac:dyDescent="0.25">
      <c r="A1315" s="1" t="s">
        <v>2465</v>
      </c>
      <c r="B1315" s="2" t="s">
        <v>91</v>
      </c>
      <c r="C1315" s="2" t="s">
        <v>2466</v>
      </c>
      <c r="D1315" s="86" t="s">
        <v>2467</v>
      </c>
      <c r="E1315" s="81"/>
      <c r="F1315" s="2" t="s">
        <v>2269</v>
      </c>
      <c r="G1315" s="34">
        <v>3</v>
      </c>
      <c r="H1315" s="64">
        <v>0</v>
      </c>
      <c r="I1315" s="34">
        <f t="shared" si="132"/>
        <v>0</v>
      </c>
      <c r="J1315" s="65" t="s">
        <v>133</v>
      </c>
      <c r="K1315" s="59"/>
      <c r="Z1315" s="34">
        <f t="shared" si="133"/>
        <v>0</v>
      </c>
      <c r="AB1315" s="34">
        <f t="shared" si="134"/>
        <v>0</v>
      </c>
      <c r="AC1315" s="34">
        <f t="shared" si="135"/>
        <v>0</v>
      </c>
      <c r="AD1315" s="34">
        <f t="shared" si="136"/>
        <v>0</v>
      </c>
      <c r="AE1315" s="34">
        <f t="shared" si="137"/>
        <v>0</v>
      </c>
      <c r="AF1315" s="34">
        <f t="shared" si="138"/>
        <v>0</v>
      </c>
      <c r="AG1315" s="34">
        <f t="shared" si="139"/>
        <v>0</v>
      </c>
      <c r="AH1315" s="34">
        <f t="shared" si="140"/>
        <v>0</v>
      </c>
      <c r="AI1315" s="46" t="s">
        <v>91</v>
      </c>
      <c r="AJ1315" s="34">
        <f t="shared" si="141"/>
        <v>0</v>
      </c>
      <c r="AK1315" s="34">
        <f t="shared" si="142"/>
        <v>0</v>
      </c>
      <c r="AL1315" s="34">
        <f t="shared" si="143"/>
        <v>0</v>
      </c>
      <c r="AN1315" s="34">
        <v>21</v>
      </c>
      <c r="AO1315" s="34">
        <f t="shared" si="144"/>
        <v>0</v>
      </c>
      <c r="AP1315" s="34">
        <f t="shared" si="145"/>
        <v>0</v>
      </c>
      <c r="AQ1315" s="65" t="s">
        <v>129</v>
      </c>
      <c r="AV1315" s="34">
        <f t="shared" si="146"/>
        <v>0</v>
      </c>
      <c r="AW1315" s="34">
        <f t="shared" si="147"/>
        <v>0</v>
      </c>
      <c r="AX1315" s="34">
        <f t="shared" si="148"/>
        <v>0</v>
      </c>
      <c r="AY1315" s="65" t="s">
        <v>1843</v>
      </c>
      <c r="AZ1315" s="65" t="s">
        <v>2257</v>
      </c>
      <c r="BA1315" s="46" t="s">
        <v>2258</v>
      </c>
      <c r="BC1315" s="34">
        <f t="shared" si="149"/>
        <v>0</v>
      </c>
      <c r="BD1315" s="34">
        <f t="shared" si="150"/>
        <v>0</v>
      </c>
      <c r="BE1315" s="34">
        <v>0</v>
      </c>
      <c r="BF1315" s="34">
        <f>1315</f>
        <v>1315</v>
      </c>
      <c r="BH1315" s="34">
        <f t="shared" si="151"/>
        <v>0</v>
      </c>
      <c r="BI1315" s="34">
        <f t="shared" si="152"/>
        <v>0</v>
      </c>
      <c r="BJ1315" s="34">
        <f t="shared" si="153"/>
        <v>0</v>
      </c>
      <c r="BK1315" s="34"/>
      <c r="BL1315" s="34"/>
      <c r="BW1315" s="34">
        <v>21</v>
      </c>
      <c r="BX1315" s="3" t="s">
        <v>2467</v>
      </c>
    </row>
    <row r="1316" spans="1:76" x14ac:dyDescent="0.25">
      <c r="A1316" s="1" t="s">
        <v>2468</v>
      </c>
      <c r="B1316" s="2" t="s">
        <v>91</v>
      </c>
      <c r="C1316" s="2" t="s">
        <v>2469</v>
      </c>
      <c r="D1316" s="86" t="s">
        <v>2470</v>
      </c>
      <c r="E1316" s="81"/>
      <c r="F1316" s="2" t="s">
        <v>2269</v>
      </c>
      <c r="G1316" s="34">
        <v>15</v>
      </c>
      <c r="H1316" s="64">
        <v>0</v>
      </c>
      <c r="I1316" s="34">
        <f t="shared" si="132"/>
        <v>0</v>
      </c>
      <c r="J1316" s="65" t="s">
        <v>133</v>
      </c>
      <c r="K1316" s="59"/>
      <c r="Z1316" s="34">
        <f t="shared" si="133"/>
        <v>0</v>
      </c>
      <c r="AB1316" s="34">
        <f t="shared" si="134"/>
        <v>0</v>
      </c>
      <c r="AC1316" s="34">
        <f t="shared" si="135"/>
        <v>0</v>
      </c>
      <c r="AD1316" s="34">
        <f t="shared" si="136"/>
        <v>0</v>
      </c>
      <c r="AE1316" s="34">
        <f t="shared" si="137"/>
        <v>0</v>
      </c>
      <c r="AF1316" s="34">
        <f t="shared" si="138"/>
        <v>0</v>
      </c>
      <c r="AG1316" s="34">
        <f t="shared" si="139"/>
        <v>0</v>
      </c>
      <c r="AH1316" s="34">
        <f t="shared" si="140"/>
        <v>0</v>
      </c>
      <c r="AI1316" s="46" t="s">
        <v>91</v>
      </c>
      <c r="AJ1316" s="34">
        <f t="shared" si="141"/>
        <v>0</v>
      </c>
      <c r="AK1316" s="34">
        <f t="shared" si="142"/>
        <v>0</v>
      </c>
      <c r="AL1316" s="34">
        <f t="shared" si="143"/>
        <v>0</v>
      </c>
      <c r="AN1316" s="34">
        <v>21</v>
      </c>
      <c r="AO1316" s="34">
        <f t="shared" si="144"/>
        <v>0</v>
      </c>
      <c r="AP1316" s="34">
        <f t="shared" si="145"/>
        <v>0</v>
      </c>
      <c r="AQ1316" s="65" t="s">
        <v>140</v>
      </c>
      <c r="AV1316" s="34">
        <f t="shared" si="146"/>
        <v>0</v>
      </c>
      <c r="AW1316" s="34">
        <f t="shared" si="147"/>
        <v>0</v>
      </c>
      <c r="AX1316" s="34">
        <f t="shared" si="148"/>
        <v>0</v>
      </c>
      <c r="AY1316" s="65" t="s">
        <v>1843</v>
      </c>
      <c r="AZ1316" s="65" t="s">
        <v>2257</v>
      </c>
      <c r="BA1316" s="46" t="s">
        <v>2258</v>
      </c>
      <c r="BC1316" s="34">
        <f t="shared" si="149"/>
        <v>0</v>
      </c>
      <c r="BD1316" s="34">
        <f t="shared" si="150"/>
        <v>0</v>
      </c>
      <c r="BE1316" s="34">
        <v>0</v>
      </c>
      <c r="BF1316" s="34">
        <f>1316</f>
        <v>1316</v>
      </c>
      <c r="BH1316" s="34">
        <f t="shared" si="151"/>
        <v>0</v>
      </c>
      <c r="BI1316" s="34">
        <f t="shared" si="152"/>
        <v>0</v>
      </c>
      <c r="BJ1316" s="34">
        <f t="shared" si="153"/>
        <v>0</v>
      </c>
      <c r="BK1316" s="34"/>
      <c r="BL1316" s="34"/>
      <c r="BW1316" s="34">
        <v>21</v>
      </c>
      <c r="BX1316" s="3" t="s">
        <v>2470</v>
      </c>
    </row>
    <row r="1317" spans="1:76" x14ac:dyDescent="0.25">
      <c r="A1317" s="1" t="s">
        <v>2471</v>
      </c>
      <c r="B1317" s="2" t="s">
        <v>91</v>
      </c>
      <c r="C1317" s="2" t="s">
        <v>2472</v>
      </c>
      <c r="D1317" s="86" t="s">
        <v>2473</v>
      </c>
      <c r="E1317" s="81"/>
      <c r="F1317" s="2" t="s">
        <v>2269</v>
      </c>
      <c r="G1317" s="34">
        <v>7</v>
      </c>
      <c r="H1317" s="64">
        <v>0</v>
      </c>
      <c r="I1317" s="34">
        <f t="shared" si="132"/>
        <v>0</v>
      </c>
      <c r="J1317" s="65" t="s">
        <v>133</v>
      </c>
      <c r="K1317" s="59"/>
      <c r="Z1317" s="34">
        <f t="shared" si="133"/>
        <v>0</v>
      </c>
      <c r="AB1317" s="34">
        <f t="shared" si="134"/>
        <v>0</v>
      </c>
      <c r="AC1317" s="34">
        <f t="shared" si="135"/>
        <v>0</v>
      </c>
      <c r="AD1317" s="34">
        <f t="shared" si="136"/>
        <v>0</v>
      </c>
      <c r="AE1317" s="34">
        <f t="shared" si="137"/>
        <v>0</v>
      </c>
      <c r="AF1317" s="34">
        <f t="shared" si="138"/>
        <v>0</v>
      </c>
      <c r="AG1317" s="34">
        <f t="shared" si="139"/>
        <v>0</v>
      </c>
      <c r="AH1317" s="34">
        <f t="shared" si="140"/>
        <v>0</v>
      </c>
      <c r="AI1317" s="46" t="s">
        <v>91</v>
      </c>
      <c r="AJ1317" s="34">
        <f t="shared" si="141"/>
        <v>0</v>
      </c>
      <c r="AK1317" s="34">
        <f t="shared" si="142"/>
        <v>0</v>
      </c>
      <c r="AL1317" s="34">
        <f t="shared" si="143"/>
        <v>0</v>
      </c>
      <c r="AN1317" s="34">
        <v>21</v>
      </c>
      <c r="AO1317" s="34">
        <f t="shared" si="144"/>
        <v>0</v>
      </c>
      <c r="AP1317" s="34">
        <f t="shared" si="145"/>
        <v>0</v>
      </c>
      <c r="AQ1317" s="65" t="s">
        <v>140</v>
      </c>
      <c r="AV1317" s="34">
        <f t="shared" si="146"/>
        <v>0</v>
      </c>
      <c r="AW1317" s="34">
        <f t="shared" si="147"/>
        <v>0</v>
      </c>
      <c r="AX1317" s="34">
        <f t="shared" si="148"/>
        <v>0</v>
      </c>
      <c r="AY1317" s="65" t="s">
        <v>1843</v>
      </c>
      <c r="AZ1317" s="65" t="s">
        <v>2257</v>
      </c>
      <c r="BA1317" s="46" t="s">
        <v>2258</v>
      </c>
      <c r="BC1317" s="34">
        <f t="shared" si="149"/>
        <v>0</v>
      </c>
      <c r="BD1317" s="34">
        <f t="shared" si="150"/>
        <v>0</v>
      </c>
      <c r="BE1317" s="34">
        <v>0</v>
      </c>
      <c r="BF1317" s="34">
        <f>1317</f>
        <v>1317</v>
      </c>
      <c r="BH1317" s="34">
        <f t="shared" si="151"/>
        <v>0</v>
      </c>
      <c r="BI1317" s="34">
        <f t="shared" si="152"/>
        <v>0</v>
      </c>
      <c r="BJ1317" s="34">
        <f t="shared" si="153"/>
        <v>0</v>
      </c>
      <c r="BK1317" s="34"/>
      <c r="BL1317" s="34"/>
      <c r="BW1317" s="34">
        <v>21</v>
      </c>
      <c r="BX1317" s="3" t="s">
        <v>2473</v>
      </c>
    </row>
    <row r="1318" spans="1:76" x14ac:dyDescent="0.25">
      <c r="A1318" s="1" t="s">
        <v>2474</v>
      </c>
      <c r="B1318" s="2" t="s">
        <v>91</v>
      </c>
      <c r="C1318" s="2" t="s">
        <v>2475</v>
      </c>
      <c r="D1318" s="86" t="s">
        <v>2476</v>
      </c>
      <c r="E1318" s="81"/>
      <c r="F1318" s="2" t="s">
        <v>1190</v>
      </c>
      <c r="G1318" s="34">
        <v>1</v>
      </c>
      <c r="H1318" s="64">
        <v>0</v>
      </c>
      <c r="I1318" s="34">
        <f t="shared" si="132"/>
        <v>0</v>
      </c>
      <c r="J1318" s="65" t="s">
        <v>133</v>
      </c>
      <c r="K1318" s="59"/>
      <c r="Z1318" s="34">
        <f t="shared" si="133"/>
        <v>0</v>
      </c>
      <c r="AB1318" s="34">
        <f t="shared" si="134"/>
        <v>0</v>
      </c>
      <c r="AC1318" s="34">
        <f t="shared" si="135"/>
        <v>0</v>
      </c>
      <c r="AD1318" s="34">
        <f t="shared" si="136"/>
        <v>0</v>
      </c>
      <c r="AE1318" s="34">
        <f t="shared" si="137"/>
        <v>0</v>
      </c>
      <c r="AF1318" s="34">
        <f t="shared" si="138"/>
        <v>0</v>
      </c>
      <c r="AG1318" s="34">
        <f t="shared" si="139"/>
        <v>0</v>
      </c>
      <c r="AH1318" s="34">
        <f t="shared" si="140"/>
        <v>0</v>
      </c>
      <c r="AI1318" s="46" t="s">
        <v>91</v>
      </c>
      <c r="AJ1318" s="34">
        <f t="shared" si="141"/>
        <v>0</v>
      </c>
      <c r="AK1318" s="34">
        <f t="shared" si="142"/>
        <v>0</v>
      </c>
      <c r="AL1318" s="34">
        <f t="shared" si="143"/>
        <v>0</v>
      </c>
      <c r="AN1318" s="34">
        <v>21</v>
      </c>
      <c r="AO1318" s="34">
        <f t="shared" si="144"/>
        <v>0</v>
      </c>
      <c r="AP1318" s="34">
        <f t="shared" si="145"/>
        <v>0</v>
      </c>
      <c r="AQ1318" s="65" t="s">
        <v>129</v>
      </c>
      <c r="AV1318" s="34">
        <f t="shared" si="146"/>
        <v>0</v>
      </c>
      <c r="AW1318" s="34">
        <f t="shared" si="147"/>
        <v>0</v>
      </c>
      <c r="AX1318" s="34">
        <f t="shared" si="148"/>
        <v>0</v>
      </c>
      <c r="AY1318" s="65" t="s">
        <v>1843</v>
      </c>
      <c r="AZ1318" s="65" t="s">
        <v>2257</v>
      </c>
      <c r="BA1318" s="46" t="s">
        <v>2258</v>
      </c>
      <c r="BC1318" s="34">
        <f t="shared" si="149"/>
        <v>0</v>
      </c>
      <c r="BD1318" s="34">
        <f t="shared" si="150"/>
        <v>0</v>
      </c>
      <c r="BE1318" s="34">
        <v>0</v>
      </c>
      <c r="BF1318" s="34">
        <f>1318</f>
        <v>1318</v>
      </c>
      <c r="BH1318" s="34">
        <f t="shared" si="151"/>
        <v>0</v>
      </c>
      <c r="BI1318" s="34">
        <f t="shared" si="152"/>
        <v>0</v>
      </c>
      <c r="BJ1318" s="34">
        <f t="shared" si="153"/>
        <v>0</v>
      </c>
      <c r="BK1318" s="34"/>
      <c r="BL1318" s="34"/>
      <c r="BW1318" s="34">
        <v>21</v>
      </c>
      <c r="BX1318" s="3" t="s">
        <v>2476</v>
      </c>
    </row>
    <row r="1319" spans="1:76" x14ac:dyDescent="0.25">
      <c r="A1319" s="1" t="s">
        <v>2477</v>
      </c>
      <c r="B1319" s="2" t="s">
        <v>91</v>
      </c>
      <c r="C1319" s="2" t="s">
        <v>2478</v>
      </c>
      <c r="D1319" s="86" t="s">
        <v>2479</v>
      </c>
      <c r="E1319" s="81"/>
      <c r="F1319" s="2" t="s">
        <v>2269</v>
      </c>
      <c r="G1319" s="34">
        <v>205</v>
      </c>
      <c r="H1319" s="64">
        <v>0</v>
      </c>
      <c r="I1319" s="34">
        <f t="shared" si="132"/>
        <v>0</v>
      </c>
      <c r="J1319" s="65" t="s">
        <v>133</v>
      </c>
      <c r="K1319" s="59"/>
      <c r="Z1319" s="34">
        <f t="shared" si="133"/>
        <v>0</v>
      </c>
      <c r="AB1319" s="34">
        <f t="shared" si="134"/>
        <v>0</v>
      </c>
      <c r="AC1319" s="34">
        <f t="shared" si="135"/>
        <v>0</v>
      </c>
      <c r="AD1319" s="34">
        <f t="shared" si="136"/>
        <v>0</v>
      </c>
      <c r="AE1319" s="34">
        <f t="shared" si="137"/>
        <v>0</v>
      </c>
      <c r="AF1319" s="34">
        <f t="shared" si="138"/>
        <v>0</v>
      </c>
      <c r="AG1319" s="34">
        <f t="shared" si="139"/>
        <v>0</v>
      </c>
      <c r="AH1319" s="34">
        <f t="shared" si="140"/>
        <v>0</v>
      </c>
      <c r="AI1319" s="46" t="s">
        <v>91</v>
      </c>
      <c r="AJ1319" s="34">
        <f t="shared" si="141"/>
        <v>0</v>
      </c>
      <c r="AK1319" s="34">
        <f t="shared" si="142"/>
        <v>0</v>
      </c>
      <c r="AL1319" s="34">
        <f t="shared" si="143"/>
        <v>0</v>
      </c>
      <c r="AN1319" s="34">
        <v>21</v>
      </c>
      <c r="AO1319" s="34">
        <f t="shared" si="144"/>
        <v>0</v>
      </c>
      <c r="AP1319" s="34">
        <f t="shared" si="145"/>
        <v>0</v>
      </c>
      <c r="AQ1319" s="65" t="s">
        <v>140</v>
      </c>
      <c r="AV1319" s="34">
        <f t="shared" si="146"/>
        <v>0</v>
      </c>
      <c r="AW1319" s="34">
        <f t="shared" si="147"/>
        <v>0</v>
      </c>
      <c r="AX1319" s="34">
        <f t="shared" si="148"/>
        <v>0</v>
      </c>
      <c r="AY1319" s="65" t="s">
        <v>1843</v>
      </c>
      <c r="AZ1319" s="65" t="s">
        <v>2257</v>
      </c>
      <c r="BA1319" s="46" t="s">
        <v>2258</v>
      </c>
      <c r="BC1319" s="34">
        <f t="shared" si="149"/>
        <v>0</v>
      </c>
      <c r="BD1319" s="34">
        <f t="shared" si="150"/>
        <v>0</v>
      </c>
      <c r="BE1319" s="34">
        <v>0</v>
      </c>
      <c r="BF1319" s="34">
        <f>1319</f>
        <v>1319</v>
      </c>
      <c r="BH1319" s="34">
        <f t="shared" si="151"/>
        <v>0</v>
      </c>
      <c r="BI1319" s="34">
        <f t="shared" si="152"/>
        <v>0</v>
      </c>
      <c r="BJ1319" s="34">
        <f t="shared" si="153"/>
        <v>0</v>
      </c>
      <c r="BK1319" s="34"/>
      <c r="BL1319" s="34"/>
      <c r="BW1319" s="34">
        <v>21</v>
      </c>
      <c r="BX1319" s="3" t="s">
        <v>2479</v>
      </c>
    </row>
    <row r="1320" spans="1:76" x14ac:dyDescent="0.25">
      <c r="A1320" s="1" t="s">
        <v>2480</v>
      </c>
      <c r="B1320" s="2" t="s">
        <v>91</v>
      </c>
      <c r="C1320" s="2" t="s">
        <v>2481</v>
      </c>
      <c r="D1320" s="86" t="s">
        <v>2482</v>
      </c>
      <c r="E1320" s="81"/>
      <c r="F1320" s="2" t="s">
        <v>2269</v>
      </c>
      <c r="G1320" s="34">
        <v>60</v>
      </c>
      <c r="H1320" s="64">
        <v>0</v>
      </c>
      <c r="I1320" s="34">
        <f t="shared" si="132"/>
        <v>0</v>
      </c>
      <c r="J1320" s="65" t="s">
        <v>133</v>
      </c>
      <c r="K1320" s="59"/>
      <c r="Z1320" s="34">
        <f t="shared" si="133"/>
        <v>0</v>
      </c>
      <c r="AB1320" s="34">
        <f t="shared" si="134"/>
        <v>0</v>
      </c>
      <c r="AC1320" s="34">
        <f t="shared" si="135"/>
        <v>0</v>
      </c>
      <c r="AD1320" s="34">
        <f t="shared" si="136"/>
        <v>0</v>
      </c>
      <c r="AE1320" s="34">
        <f t="shared" si="137"/>
        <v>0</v>
      </c>
      <c r="AF1320" s="34">
        <f t="shared" si="138"/>
        <v>0</v>
      </c>
      <c r="AG1320" s="34">
        <f t="shared" si="139"/>
        <v>0</v>
      </c>
      <c r="AH1320" s="34">
        <f t="shared" si="140"/>
        <v>0</v>
      </c>
      <c r="AI1320" s="46" t="s">
        <v>91</v>
      </c>
      <c r="AJ1320" s="34">
        <f t="shared" si="141"/>
        <v>0</v>
      </c>
      <c r="AK1320" s="34">
        <f t="shared" si="142"/>
        <v>0</v>
      </c>
      <c r="AL1320" s="34">
        <f t="shared" si="143"/>
        <v>0</v>
      </c>
      <c r="AN1320" s="34">
        <v>21</v>
      </c>
      <c r="AO1320" s="34">
        <f t="shared" si="144"/>
        <v>0</v>
      </c>
      <c r="AP1320" s="34">
        <f t="shared" si="145"/>
        <v>0</v>
      </c>
      <c r="AQ1320" s="65" t="s">
        <v>129</v>
      </c>
      <c r="AV1320" s="34">
        <f t="shared" si="146"/>
        <v>0</v>
      </c>
      <c r="AW1320" s="34">
        <f t="shared" si="147"/>
        <v>0</v>
      </c>
      <c r="AX1320" s="34">
        <f t="shared" si="148"/>
        <v>0</v>
      </c>
      <c r="AY1320" s="65" t="s">
        <v>1843</v>
      </c>
      <c r="AZ1320" s="65" t="s">
        <v>2257</v>
      </c>
      <c r="BA1320" s="46" t="s">
        <v>2258</v>
      </c>
      <c r="BC1320" s="34">
        <f t="shared" si="149"/>
        <v>0</v>
      </c>
      <c r="BD1320" s="34">
        <f t="shared" si="150"/>
        <v>0</v>
      </c>
      <c r="BE1320" s="34">
        <v>0</v>
      </c>
      <c r="BF1320" s="34">
        <f>1320</f>
        <v>1320</v>
      </c>
      <c r="BH1320" s="34">
        <f t="shared" si="151"/>
        <v>0</v>
      </c>
      <c r="BI1320" s="34">
        <f t="shared" si="152"/>
        <v>0</v>
      </c>
      <c r="BJ1320" s="34">
        <f t="shared" si="153"/>
        <v>0</v>
      </c>
      <c r="BK1320" s="34"/>
      <c r="BL1320" s="34"/>
      <c r="BW1320" s="34">
        <v>21</v>
      </c>
      <c r="BX1320" s="3" t="s">
        <v>2482</v>
      </c>
    </row>
    <row r="1321" spans="1:76" x14ac:dyDescent="0.25">
      <c r="A1321" s="1" t="s">
        <v>2483</v>
      </c>
      <c r="B1321" s="2" t="s">
        <v>91</v>
      </c>
      <c r="C1321" s="2" t="s">
        <v>2484</v>
      </c>
      <c r="D1321" s="86" t="s">
        <v>2485</v>
      </c>
      <c r="E1321" s="81"/>
      <c r="F1321" s="2" t="s">
        <v>2269</v>
      </c>
      <c r="G1321" s="34">
        <v>140</v>
      </c>
      <c r="H1321" s="64">
        <v>0</v>
      </c>
      <c r="I1321" s="34">
        <f t="shared" si="132"/>
        <v>0</v>
      </c>
      <c r="J1321" s="65" t="s">
        <v>133</v>
      </c>
      <c r="K1321" s="59"/>
      <c r="Z1321" s="34">
        <f t="shared" si="133"/>
        <v>0</v>
      </c>
      <c r="AB1321" s="34">
        <f t="shared" si="134"/>
        <v>0</v>
      </c>
      <c r="AC1321" s="34">
        <f t="shared" si="135"/>
        <v>0</v>
      </c>
      <c r="AD1321" s="34">
        <f t="shared" si="136"/>
        <v>0</v>
      </c>
      <c r="AE1321" s="34">
        <f t="shared" si="137"/>
        <v>0</v>
      </c>
      <c r="AF1321" s="34">
        <f t="shared" si="138"/>
        <v>0</v>
      </c>
      <c r="AG1321" s="34">
        <f t="shared" si="139"/>
        <v>0</v>
      </c>
      <c r="AH1321" s="34">
        <f t="shared" si="140"/>
        <v>0</v>
      </c>
      <c r="AI1321" s="46" t="s">
        <v>91</v>
      </c>
      <c r="AJ1321" s="34">
        <f t="shared" si="141"/>
        <v>0</v>
      </c>
      <c r="AK1321" s="34">
        <f t="shared" si="142"/>
        <v>0</v>
      </c>
      <c r="AL1321" s="34">
        <f t="shared" si="143"/>
        <v>0</v>
      </c>
      <c r="AN1321" s="34">
        <v>21</v>
      </c>
      <c r="AO1321" s="34">
        <f t="shared" si="144"/>
        <v>0</v>
      </c>
      <c r="AP1321" s="34">
        <f t="shared" si="145"/>
        <v>0</v>
      </c>
      <c r="AQ1321" s="65" t="s">
        <v>129</v>
      </c>
      <c r="AV1321" s="34">
        <f t="shared" si="146"/>
        <v>0</v>
      </c>
      <c r="AW1321" s="34">
        <f t="shared" si="147"/>
        <v>0</v>
      </c>
      <c r="AX1321" s="34">
        <f t="shared" si="148"/>
        <v>0</v>
      </c>
      <c r="AY1321" s="65" t="s">
        <v>1843</v>
      </c>
      <c r="AZ1321" s="65" t="s">
        <v>2257</v>
      </c>
      <c r="BA1321" s="46" t="s">
        <v>2258</v>
      </c>
      <c r="BC1321" s="34">
        <f t="shared" si="149"/>
        <v>0</v>
      </c>
      <c r="BD1321" s="34">
        <f t="shared" si="150"/>
        <v>0</v>
      </c>
      <c r="BE1321" s="34">
        <v>0</v>
      </c>
      <c r="BF1321" s="34">
        <f>1321</f>
        <v>1321</v>
      </c>
      <c r="BH1321" s="34">
        <f t="shared" si="151"/>
        <v>0</v>
      </c>
      <c r="BI1321" s="34">
        <f t="shared" si="152"/>
        <v>0</v>
      </c>
      <c r="BJ1321" s="34">
        <f t="shared" si="153"/>
        <v>0</v>
      </c>
      <c r="BK1321" s="34"/>
      <c r="BL1321" s="34"/>
      <c r="BW1321" s="34">
        <v>21</v>
      </c>
      <c r="BX1321" s="3" t="s">
        <v>2485</v>
      </c>
    </row>
    <row r="1322" spans="1:76" ht="25.5" x14ac:dyDescent="0.25">
      <c r="A1322" s="1" t="s">
        <v>2486</v>
      </c>
      <c r="B1322" s="2" t="s">
        <v>91</v>
      </c>
      <c r="C1322" s="2" t="s">
        <v>2487</v>
      </c>
      <c r="D1322" s="86" t="s">
        <v>2488</v>
      </c>
      <c r="E1322" s="81"/>
      <c r="F1322" s="2" t="s">
        <v>2269</v>
      </c>
      <c r="G1322" s="34">
        <v>1</v>
      </c>
      <c r="H1322" s="64">
        <v>0</v>
      </c>
      <c r="I1322" s="34">
        <f t="shared" si="132"/>
        <v>0</v>
      </c>
      <c r="J1322" s="65" t="s">
        <v>133</v>
      </c>
      <c r="K1322" s="59"/>
      <c r="Z1322" s="34">
        <f t="shared" si="133"/>
        <v>0</v>
      </c>
      <c r="AB1322" s="34">
        <f t="shared" si="134"/>
        <v>0</v>
      </c>
      <c r="AC1322" s="34">
        <f t="shared" si="135"/>
        <v>0</v>
      </c>
      <c r="AD1322" s="34">
        <f t="shared" si="136"/>
        <v>0</v>
      </c>
      <c r="AE1322" s="34">
        <f t="shared" si="137"/>
        <v>0</v>
      </c>
      <c r="AF1322" s="34">
        <f t="shared" si="138"/>
        <v>0</v>
      </c>
      <c r="AG1322" s="34">
        <f t="shared" si="139"/>
        <v>0</v>
      </c>
      <c r="AH1322" s="34">
        <f t="shared" si="140"/>
        <v>0</v>
      </c>
      <c r="AI1322" s="46" t="s">
        <v>91</v>
      </c>
      <c r="AJ1322" s="34">
        <f t="shared" si="141"/>
        <v>0</v>
      </c>
      <c r="AK1322" s="34">
        <f t="shared" si="142"/>
        <v>0</v>
      </c>
      <c r="AL1322" s="34">
        <f t="shared" si="143"/>
        <v>0</v>
      </c>
      <c r="AN1322" s="34">
        <v>21</v>
      </c>
      <c r="AO1322" s="34">
        <f t="shared" si="144"/>
        <v>0</v>
      </c>
      <c r="AP1322" s="34">
        <f t="shared" si="145"/>
        <v>0</v>
      </c>
      <c r="AQ1322" s="65" t="s">
        <v>129</v>
      </c>
      <c r="AV1322" s="34">
        <f t="shared" si="146"/>
        <v>0</v>
      </c>
      <c r="AW1322" s="34">
        <f t="shared" si="147"/>
        <v>0</v>
      </c>
      <c r="AX1322" s="34">
        <f t="shared" si="148"/>
        <v>0</v>
      </c>
      <c r="AY1322" s="65" t="s">
        <v>1843</v>
      </c>
      <c r="AZ1322" s="65" t="s">
        <v>2257</v>
      </c>
      <c r="BA1322" s="46" t="s">
        <v>2258</v>
      </c>
      <c r="BC1322" s="34">
        <f t="shared" si="149"/>
        <v>0</v>
      </c>
      <c r="BD1322" s="34">
        <f t="shared" si="150"/>
        <v>0</v>
      </c>
      <c r="BE1322" s="34">
        <v>0</v>
      </c>
      <c r="BF1322" s="34">
        <f>1322</f>
        <v>1322</v>
      </c>
      <c r="BH1322" s="34">
        <f t="shared" si="151"/>
        <v>0</v>
      </c>
      <c r="BI1322" s="34">
        <f t="shared" si="152"/>
        <v>0</v>
      </c>
      <c r="BJ1322" s="34">
        <f t="shared" si="153"/>
        <v>0</v>
      </c>
      <c r="BK1322" s="34"/>
      <c r="BL1322" s="34"/>
      <c r="BW1322" s="34">
        <v>21</v>
      </c>
      <c r="BX1322" s="3" t="s">
        <v>2488</v>
      </c>
    </row>
    <row r="1323" spans="1:76" ht="25.5" x14ac:dyDescent="0.25">
      <c r="A1323" s="1" t="s">
        <v>2489</v>
      </c>
      <c r="B1323" s="2" t="s">
        <v>91</v>
      </c>
      <c r="C1323" s="2" t="s">
        <v>2490</v>
      </c>
      <c r="D1323" s="86" t="s">
        <v>2491</v>
      </c>
      <c r="E1323" s="81"/>
      <c r="F1323" s="2" t="s">
        <v>2269</v>
      </c>
      <c r="G1323" s="34">
        <v>1</v>
      </c>
      <c r="H1323" s="64">
        <v>0</v>
      </c>
      <c r="I1323" s="34">
        <f t="shared" si="132"/>
        <v>0</v>
      </c>
      <c r="J1323" s="65" t="s">
        <v>133</v>
      </c>
      <c r="K1323" s="59"/>
      <c r="Z1323" s="34">
        <f t="shared" si="133"/>
        <v>0</v>
      </c>
      <c r="AB1323" s="34">
        <f t="shared" si="134"/>
        <v>0</v>
      </c>
      <c r="AC1323" s="34">
        <f t="shared" si="135"/>
        <v>0</v>
      </c>
      <c r="AD1323" s="34">
        <f t="shared" si="136"/>
        <v>0</v>
      </c>
      <c r="AE1323" s="34">
        <f t="shared" si="137"/>
        <v>0</v>
      </c>
      <c r="AF1323" s="34">
        <f t="shared" si="138"/>
        <v>0</v>
      </c>
      <c r="AG1323" s="34">
        <f t="shared" si="139"/>
        <v>0</v>
      </c>
      <c r="AH1323" s="34">
        <f t="shared" si="140"/>
        <v>0</v>
      </c>
      <c r="AI1323" s="46" t="s">
        <v>91</v>
      </c>
      <c r="AJ1323" s="34">
        <f t="shared" si="141"/>
        <v>0</v>
      </c>
      <c r="AK1323" s="34">
        <f t="shared" si="142"/>
        <v>0</v>
      </c>
      <c r="AL1323" s="34">
        <f t="shared" si="143"/>
        <v>0</v>
      </c>
      <c r="AN1323" s="34">
        <v>21</v>
      </c>
      <c r="AO1323" s="34">
        <f t="shared" si="144"/>
        <v>0</v>
      </c>
      <c r="AP1323" s="34">
        <f t="shared" si="145"/>
        <v>0</v>
      </c>
      <c r="AQ1323" s="65" t="s">
        <v>129</v>
      </c>
      <c r="AV1323" s="34">
        <f t="shared" si="146"/>
        <v>0</v>
      </c>
      <c r="AW1323" s="34">
        <f t="shared" si="147"/>
        <v>0</v>
      </c>
      <c r="AX1323" s="34">
        <f t="shared" si="148"/>
        <v>0</v>
      </c>
      <c r="AY1323" s="65" t="s">
        <v>1843</v>
      </c>
      <c r="AZ1323" s="65" t="s">
        <v>2257</v>
      </c>
      <c r="BA1323" s="46" t="s">
        <v>2258</v>
      </c>
      <c r="BC1323" s="34">
        <f t="shared" si="149"/>
        <v>0</v>
      </c>
      <c r="BD1323" s="34">
        <f t="shared" si="150"/>
        <v>0</v>
      </c>
      <c r="BE1323" s="34">
        <v>0</v>
      </c>
      <c r="BF1323" s="34">
        <f>1323</f>
        <v>1323</v>
      </c>
      <c r="BH1323" s="34">
        <f t="shared" si="151"/>
        <v>0</v>
      </c>
      <c r="BI1323" s="34">
        <f t="shared" si="152"/>
        <v>0</v>
      </c>
      <c r="BJ1323" s="34">
        <f t="shared" si="153"/>
        <v>0</v>
      </c>
      <c r="BK1323" s="34"/>
      <c r="BL1323" s="34"/>
      <c r="BW1323" s="34">
        <v>21</v>
      </c>
      <c r="BX1323" s="3" t="s">
        <v>2491</v>
      </c>
    </row>
    <row r="1324" spans="1:76" x14ac:dyDescent="0.25">
      <c r="A1324" s="1" t="s">
        <v>2492</v>
      </c>
      <c r="B1324" s="2" t="s">
        <v>91</v>
      </c>
      <c r="C1324" s="2" t="s">
        <v>2493</v>
      </c>
      <c r="D1324" s="86" t="s">
        <v>2494</v>
      </c>
      <c r="E1324" s="81"/>
      <c r="F1324" s="2" t="s">
        <v>2269</v>
      </c>
      <c r="G1324" s="34">
        <v>2</v>
      </c>
      <c r="H1324" s="64">
        <v>0</v>
      </c>
      <c r="I1324" s="34">
        <f t="shared" si="132"/>
        <v>0</v>
      </c>
      <c r="J1324" s="65" t="s">
        <v>133</v>
      </c>
      <c r="K1324" s="59"/>
      <c r="Z1324" s="34">
        <f t="shared" si="133"/>
        <v>0</v>
      </c>
      <c r="AB1324" s="34">
        <f t="shared" si="134"/>
        <v>0</v>
      </c>
      <c r="AC1324" s="34">
        <f t="shared" si="135"/>
        <v>0</v>
      </c>
      <c r="AD1324" s="34">
        <f t="shared" si="136"/>
        <v>0</v>
      </c>
      <c r="AE1324" s="34">
        <f t="shared" si="137"/>
        <v>0</v>
      </c>
      <c r="AF1324" s="34">
        <f t="shared" si="138"/>
        <v>0</v>
      </c>
      <c r="AG1324" s="34">
        <f t="shared" si="139"/>
        <v>0</v>
      </c>
      <c r="AH1324" s="34">
        <f t="shared" si="140"/>
        <v>0</v>
      </c>
      <c r="AI1324" s="46" t="s">
        <v>91</v>
      </c>
      <c r="AJ1324" s="34">
        <f t="shared" si="141"/>
        <v>0</v>
      </c>
      <c r="AK1324" s="34">
        <f t="shared" si="142"/>
        <v>0</v>
      </c>
      <c r="AL1324" s="34">
        <f t="shared" si="143"/>
        <v>0</v>
      </c>
      <c r="AN1324" s="34">
        <v>21</v>
      </c>
      <c r="AO1324" s="34">
        <f t="shared" si="144"/>
        <v>0</v>
      </c>
      <c r="AP1324" s="34">
        <f t="shared" si="145"/>
        <v>0</v>
      </c>
      <c r="AQ1324" s="65" t="s">
        <v>129</v>
      </c>
      <c r="AV1324" s="34">
        <f t="shared" si="146"/>
        <v>0</v>
      </c>
      <c r="AW1324" s="34">
        <f t="shared" si="147"/>
        <v>0</v>
      </c>
      <c r="AX1324" s="34">
        <f t="shared" si="148"/>
        <v>0</v>
      </c>
      <c r="AY1324" s="65" t="s">
        <v>1843</v>
      </c>
      <c r="AZ1324" s="65" t="s">
        <v>2257</v>
      </c>
      <c r="BA1324" s="46" t="s">
        <v>2258</v>
      </c>
      <c r="BC1324" s="34">
        <f t="shared" si="149"/>
        <v>0</v>
      </c>
      <c r="BD1324" s="34">
        <f t="shared" si="150"/>
        <v>0</v>
      </c>
      <c r="BE1324" s="34">
        <v>0</v>
      </c>
      <c r="BF1324" s="34">
        <f>1324</f>
        <v>1324</v>
      </c>
      <c r="BH1324" s="34">
        <f t="shared" si="151"/>
        <v>0</v>
      </c>
      <c r="BI1324" s="34">
        <f t="shared" si="152"/>
        <v>0</v>
      </c>
      <c r="BJ1324" s="34">
        <f t="shared" si="153"/>
        <v>0</v>
      </c>
      <c r="BK1324" s="34"/>
      <c r="BL1324" s="34"/>
      <c r="BW1324" s="34">
        <v>21</v>
      </c>
      <c r="BX1324" s="3" t="s">
        <v>2494</v>
      </c>
    </row>
    <row r="1325" spans="1:76" x14ac:dyDescent="0.25">
      <c r="A1325" s="1" t="s">
        <v>2495</v>
      </c>
      <c r="B1325" s="2" t="s">
        <v>91</v>
      </c>
      <c r="C1325" s="2" t="s">
        <v>2496</v>
      </c>
      <c r="D1325" s="86" t="s">
        <v>2497</v>
      </c>
      <c r="E1325" s="81"/>
      <c r="F1325" s="2" t="s">
        <v>2269</v>
      </c>
      <c r="G1325" s="34">
        <v>1</v>
      </c>
      <c r="H1325" s="64">
        <v>0</v>
      </c>
      <c r="I1325" s="34">
        <f t="shared" si="132"/>
        <v>0</v>
      </c>
      <c r="J1325" s="65" t="s">
        <v>133</v>
      </c>
      <c r="K1325" s="59"/>
      <c r="Z1325" s="34">
        <f t="shared" si="133"/>
        <v>0</v>
      </c>
      <c r="AB1325" s="34">
        <f t="shared" si="134"/>
        <v>0</v>
      </c>
      <c r="AC1325" s="34">
        <f t="shared" si="135"/>
        <v>0</v>
      </c>
      <c r="AD1325" s="34">
        <f t="shared" si="136"/>
        <v>0</v>
      </c>
      <c r="AE1325" s="34">
        <f t="shared" si="137"/>
        <v>0</v>
      </c>
      <c r="AF1325" s="34">
        <f t="shared" si="138"/>
        <v>0</v>
      </c>
      <c r="AG1325" s="34">
        <f t="shared" si="139"/>
        <v>0</v>
      </c>
      <c r="AH1325" s="34">
        <f t="shared" si="140"/>
        <v>0</v>
      </c>
      <c r="AI1325" s="46" t="s">
        <v>91</v>
      </c>
      <c r="AJ1325" s="34">
        <f t="shared" si="141"/>
        <v>0</v>
      </c>
      <c r="AK1325" s="34">
        <f t="shared" si="142"/>
        <v>0</v>
      </c>
      <c r="AL1325" s="34">
        <f t="shared" si="143"/>
        <v>0</v>
      </c>
      <c r="AN1325" s="34">
        <v>21</v>
      </c>
      <c r="AO1325" s="34">
        <f t="shared" si="144"/>
        <v>0</v>
      </c>
      <c r="AP1325" s="34">
        <f t="shared" si="145"/>
        <v>0</v>
      </c>
      <c r="AQ1325" s="65" t="s">
        <v>140</v>
      </c>
      <c r="AV1325" s="34">
        <f t="shared" si="146"/>
        <v>0</v>
      </c>
      <c r="AW1325" s="34">
        <f t="shared" si="147"/>
        <v>0</v>
      </c>
      <c r="AX1325" s="34">
        <f t="shared" si="148"/>
        <v>0</v>
      </c>
      <c r="AY1325" s="65" t="s">
        <v>1843</v>
      </c>
      <c r="AZ1325" s="65" t="s">
        <v>2257</v>
      </c>
      <c r="BA1325" s="46" t="s">
        <v>2258</v>
      </c>
      <c r="BC1325" s="34">
        <f t="shared" si="149"/>
        <v>0</v>
      </c>
      <c r="BD1325" s="34">
        <f t="shared" si="150"/>
        <v>0</v>
      </c>
      <c r="BE1325" s="34">
        <v>0</v>
      </c>
      <c r="BF1325" s="34">
        <f>1325</f>
        <v>1325</v>
      </c>
      <c r="BH1325" s="34">
        <f t="shared" si="151"/>
        <v>0</v>
      </c>
      <c r="BI1325" s="34">
        <f t="shared" si="152"/>
        <v>0</v>
      </c>
      <c r="BJ1325" s="34">
        <f t="shared" si="153"/>
        <v>0</v>
      </c>
      <c r="BK1325" s="34"/>
      <c r="BL1325" s="34"/>
      <c r="BW1325" s="34">
        <v>21</v>
      </c>
      <c r="BX1325" s="3" t="s">
        <v>2497</v>
      </c>
    </row>
    <row r="1326" spans="1:76" x14ac:dyDescent="0.25">
      <c r="A1326" s="1" t="s">
        <v>2498</v>
      </c>
      <c r="B1326" s="2" t="s">
        <v>91</v>
      </c>
      <c r="C1326" s="2" t="s">
        <v>2499</v>
      </c>
      <c r="D1326" s="86" t="s">
        <v>2500</v>
      </c>
      <c r="E1326" s="81"/>
      <c r="F1326" s="2" t="s">
        <v>2269</v>
      </c>
      <c r="G1326" s="34">
        <v>2</v>
      </c>
      <c r="H1326" s="64">
        <v>0</v>
      </c>
      <c r="I1326" s="34">
        <f t="shared" si="132"/>
        <v>0</v>
      </c>
      <c r="J1326" s="65" t="s">
        <v>133</v>
      </c>
      <c r="K1326" s="59"/>
      <c r="Z1326" s="34">
        <f t="shared" si="133"/>
        <v>0</v>
      </c>
      <c r="AB1326" s="34">
        <f t="shared" si="134"/>
        <v>0</v>
      </c>
      <c r="AC1326" s="34">
        <f t="shared" si="135"/>
        <v>0</v>
      </c>
      <c r="AD1326" s="34">
        <f t="shared" si="136"/>
        <v>0</v>
      </c>
      <c r="AE1326" s="34">
        <f t="shared" si="137"/>
        <v>0</v>
      </c>
      <c r="AF1326" s="34">
        <f t="shared" si="138"/>
        <v>0</v>
      </c>
      <c r="AG1326" s="34">
        <f t="shared" si="139"/>
        <v>0</v>
      </c>
      <c r="AH1326" s="34">
        <f t="shared" si="140"/>
        <v>0</v>
      </c>
      <c r="AI1326" s="46" t="s">
        <v>91</v>
      </c>
      <c r="AJ1326" s="34">
        <f t="shared" si="141"/>
        <v>0</v>
      </c>
      <c r="AK1326" s="34">
        <f t="shared" si="142"/>
        <v>0</v>
      </c>
      <c r="AL1326" s="34">
        <f t="shared" si="143"/>
        <v>0</v>
      </c>
      <c r="AN1326" s="34">
        <v>21</v>
      </c>
      <c r="AO1326" s="34">
        <f t="shared" si="144"/>
        <v>0</v>
      </c>
      <c r="AP1326" s="34">
        <f t="shared" si="145"/>
        <v>0</v>
      </c>
      <c r="AQ1326" s="65" t="s">
        <v>140</v>
      </c>
      <c r="AV1326" s="34">
        <f t="shared" si="146"/>
        <v>0</v>
      </c>
      <c r="AW1326" s="34">
        <f t="shared" si="147"/>
        <v>0</v>
      </c>
      <c r="AX1326" s="34">
        <f t="shared" si="148"/>
        <v>0</v>
      </c>
      <c r="AY1326" s="65" t="s">
        <v>1843</v>
      </c>
      <c r="AZ1326" s="65" t="s">
        <v>2257</v>
      </c>
      <c r="BA1326" s="46" t="s">
        <v>2258</v>
      </c>
      <c r="BC1326" s="34">
        <f t="shared" si="149"/>
        <v>0</v>
      </c>
      <c r="BD1326" s="34">
        <f t="shared" si="150"/>
        <v>0</v>
      </c>
      <c r="BE1326" s="34">
        <v>0</v>
      </c>
      <c r="BF1326" s="34">
        <f>1326</f>
        <v>1326</v>
      </c>
      <c r="BH1326" s="34">
        <f t="shared" si="151"/>
        <v>0</v>
      </c>
      <c r="BI1326" s="34">
        <f t="shared" si="152"/>
        <v>0</v>
      </c>
      <c r="BJ1326" s="34">
        <f t="shared" si="153"/>
        <v>0</v>
      </c>
      <c r="BK1326" s="34"/>
      <c r="BL1326" s="34"/>
      <c r="BW1326" s="34">
        <v>21</v>
      </c>
      <c r="BX1326" s="3" t="s">
        <v>2500</v>
      </c>
    </row>
    <row r="1327" spans="1:76" x14ac:dyDescent="0.25">
      <c r="A1327" s="1" t="s">
        <v>2501</v>
      </c>
      <c r="B1327" s="2" t="s">
        <v>91</v>
      </c>
      <c r="C1327" s="2" t="s">
        <v>2502</v>
      </c>
      <c r="D1327" s="86" t="s">
        <v>2360</v>
      </c>
      <c r="E1327" s="81"/>
      <c r="F1327" s="2" t="s">
        <v>1190</v>
      </c>
      <c r="G1327" s="34">
        <v>1</v>
      </c>
      <c r="H1327" s="64">
        <v>0</v>
      </c>
      <c r="I1327" s="34">
        <f t="shared" si="132"/>
        <v>0</v>
      </c>
      <c r="J1327" s="65" t="s">
        <v>133</v>
      </c>
      <c r="K1327" s="59"/>
      <c r="Z1327" s="34">
        <f t="shared" si="133"/>
        <v>0</v>
      </c>
      <c r="AB1327" s="34">
        <f t="shared" si="134"/>
        <v>0</v>
      </c>
      <c r="AC1327" s="34">
        <f t="shared" si="135"/>
        <v>0</v>
      </c>
      <c r="AD1327" s="34">
        <f t="shared" si="136"/>
        <v>0</v>
      </c>
      <c r="AE1327" s="34">
        <f t="shared" si="137"/>
        <v>0</v>
      </c>
      <c r="AF1327" s="34">
        <f t="shared" si="138"/>
        <v>0</v>
      </c>
      <c r="AG1327" s="34">
        <f t="shared" si="139"/>
        <v>0</v>
      </c>
      <c r="AH1327" s="34">
        <f t="shared" si="140"/>
        <v>0</v>
      </c>
      <c r="AI1327" s="46" t="s">
        <v>91</v>
      </c>
      <c r="AJ1327" s="34">
        <f t="shared" si="141"/>
        <v>0</v>
      </c>
      <c r="AK1327" s="34">
        <f t="shared" si="142"/>
        <v>0</v>
      </c>
      <c r="AL1327" s="34">
        <f t="shared" si="143"/>
        <v>0</v>
      </c>
      <c r="AN1327" s="34">
        <v>21</v>
      </c>
      <c r="AO1327" s="34">
        <f t="shared" si="144"/>
        <v>0</v>
      </c>
      <c r="AP1327" s="34">
        <f t="shared" si="145"/>
        <v>0</v>
      </c>
      <c r="AQ1327" s="65" t="s">
        <v>129</v>
      </c>
      <c r="AV1327" s="34">
        <f t="shared" si="146"/>
        <v>0</v>
      </c>
      <c r="AW1327" s="34">
        <f t="shared" si="147"/>
        <v>0</v>
      </c>
      <c r="AX1327" s="34">
        <f t="shared" si="148"/>
        <v>0</v>
      </c>
      <c r="AY1327" s="65" t="s">
        <v>1843</v>
      </c>
      <c r="AZ1327" s="65" t="s">
        <v>2257</v>
      </c>
      <c r="BA1327" s="46" t="s">
        <v>2258</v>
      </c>
      <c r="BC1327" s="34">
        <f t="shared" si="149"/>
        <v>0</v>
      </c>
      <c r="BD1327" s="34">
        <f t="shared" si="150"/>
        <v>0</v>
      </c>
      <c r="BE1327" s="34">
        <v>0</v>
      </c>
      <c r="BF1327" s="34">
        <f>1327</f>
        <v>1327</v>
      </c>
      <c r="BH1327" s="34">
        <f t="shared" si="151"/>
        <v>0</v>
      </c>
      <c r="BI1327" s="34">
        <f t="shared" si="152"/>
        <v>0</v>
      </c>
      <c r="BJ1327" s="34">
        <f t="shared" si="153"/>
        <v>0</v>
      </c>
      <c r="BK1327" s="34"/>
      <c r="BL1327" s="34"/>
      <c r="BW1327" s="34">
        <v>21</v>
      </c>
      <c r="BX1327" s="3" t="s">
        <v>2360</v>
      </c>
    </row>
    <row r="1328" spans="1:76" x14ac:dyDescent="0.25">
      <c r="A1328" s="1" t="s">
        <v>2503</v>
      </c>
      <c r="B1328" s="2" t="s">
        <v>91</v>
      </c>
      <c r="C1328" s="2" t="s">
        <v>2504</v>
      </c>
      <c r="D1328" s="86" t="s">
        <v>2505</v>
      </c>
      <c r="E1328" s="81"/>
      <c r="F1328" s="2" t="s">
        <v>1190</v>
      </c>
      <c r="G1328" s="34">
        <v>1</v>
      </c>
      <c r="H1328" s="64">
        <v>0</v>
      </c>
      <c r="I1328" s="34">
        <f t="shared" si="132"/>
        <v>0</v>
      </c>
      <c r="J1328" s="65" t="s">
        <v>133</v>
      </c>
      <c r="K1328" s="59"/>
      <c r="Z1328" s="34">
        <f t="shared" si="133"/>
        <v>0</v>
      </c>
      <c r="AB1328" s="34">
        <f t="shared" si="134"/>
        <v>0</v>
      </c>
      <c r="AC1328" s="34">
        <f t="shared" si="135"/>
        <v>0</v>
      </c>
      <c r="AD1328" s="34">
        <f t="shared" si="136"/>
        <v>0</v>
      </c>
      <c r="AE1328" s="34">
        <f t="shared" si="137"/>
        <v>0</v>
      </c>
      <c r="AF1328" s="34">
        <f t="shared" si="138"/>
        <v>0</v>
      </c>
      <c r="AG1328" s="34">
        <f t="shared" si="139"/>
        <v>0</v>
      </c>
      <c r="AH1328" s="34">
        <f t="shared" si="140"/>
        <v>0</v>
      </c>
      <c r="AI1328" s="46" t="s">
        <v>91</v>
      </c>
      <c r="AJ1328" s="34">
        <f t="shared" si="141"/>
        <v>0</v>
      </c>
      <c r="AK1328" s="34">
        <f t="shared" si="142"/>
        <v>0</v>
      </c>
      <c r="AL1328" s="34">
        <f t="shared" si="143"/>
        <v>0</v>
      </c>
      <c r="AN1328" s="34">
        <v>21</v>
      </c>
      <c r="AO1328" s="34">
        <f>H1328*1</f>
        <v>0</v>
      </c>
      <c r="AP1328" s="34">
        <f>H1328*(1-1)</f>
        <v>0</v>
      </c>
      <c r="AQ1328" s="65" t="s">
        <v>129</v>
      </c>
      <c r="AV1328" s="34">
        <f t="shared" si="146"/>
        <v>0</v>
      </c>
      <c r="AW1328" s="34">
        <f t="shared" si="147"/>
        <v>0</v>
      </c>
      <c r="AX1328" s="34">
        <f t="shared" si="148"/>
        <v>0</v>
      </c>
      <c r="AY1328" s="65" t="s">
        <v>1843</v>
      </c>
      <c r="AZ1328" s="65" t="s">
        <v>2257</v>
      </c>
      <c r="BA1328" s="46" t="s">
        <v>2258</v>
      </c>
      <c r="BC1328" s="34">
        <f t="shared" si="149"/>
        <v>0</v>
      </c>
      <c r="BD1328" s="34">
        <f t="shared" si="150"/>
        <v>0</v>
      </c>
      <c r="BE1328" s="34">
        <v>0</v>
      </c>
      <c r="BF1328" s="34">
        <f>1328</f>
        <v>1328</v>
      </c>
      <c r="BH1328" s="34">
        <f t="shared" si="151"/>
        <v>0</v>
      </c>
      <c r="BI1328" s="34">
        <f t="shared" si="152"/>
        <v>0</v>
      </c>
      <c r="BJ1328" s="34">
        <f t="shared" si="153"/>
        <v>0</v>
      </c>
      <c r="BK1328" s="34"/>
      <c r="BL1328" s="34"/>
      <c r="BW1328" s="34">
        <v>21</v>
      </c>
      <c r="BX1328" s="3" t="s">
        <v>2505</v>
      </c>
    </row>
    <row r="1329" spans="1:76" x14ac:dyDescent="0.25">
      <c r="A1329" s="66"/>
      <c r="D1329" s="67" t="s">
        <v>129</v>
      </c>
      <c r="E1329" s="67" t="s">
        <v>4</v>
      </c>
      <c r="G1329" s="68">
        <v>1</v>
      </c>
      <c r="K1329" s="59"/>
    </row>
    <row r="1330" spans="1:76" x14ac:dyDescent="0.25">
      <c r="A1330" s="1" t="s">
        <v>2506</v>
      </c>
      <c r="B1330" s="2" t="s">
        <v>91</v>
      </c>
      <c r="C1330" s="2" t="s">
        <v>2507</v>
      </c>
      <c r="D1330" s="86" t="s">
        <v>2508</v>
      </c>
      <c r="E1330" s="81"/>
      <c r="F1330" s="2" t="s">
        <v>2269</v>
      </c>
      <c r="G1330" s="34">
        <v>4</v>
      </c>
      <c r="H1330" s="64">
        <v>0</v>
      </c>
      <c r="I1330" s="34">
        <f t="shared" ref="I1330:I1343" si="154">ROUND(G1330*H1330,2)</f>
        <v>0</v>
      </c>
      <c r="J1330" s="65" t="s">
        <v>133</v>
      </c>
      <c r="K1330" s="59"/>
      <c r="Z1330" s="34">
        <f t="shared" ref="Z1330:Z1343" si="155">ROUND(IF(AQ1330="5",BJ1330,0),2)</f>
        <v>0</v>
      </c>
      <c r="AB1330" s="34">
        <f t="shared" ref="AB1330:AB1343" si="156">ROUND(IF(AQ1330="1",BH1330,0),2)</f>
        <v>0</v>
      </c>
      <c r="AC1330" s="34">
        <f t="shared" ref="AC1330:AC1343" si="157">ROUND(IF(AQ1330="1",BI1330,0),2)</f>
        <v>0</v>
      </c>
      <c r="AD1330" s="34">
        <f t="shared" ref="AD1330:AD1343" si="158">ROUND(IF(AQ1330="7",BH1330,0),2)</f>
        <v>0</v>
      </c>
      <c r="AE1330" s="34">
        <f t="shared" ref="AE1330:AE1343" si="159">ROUND(IF(AQ1330="7",BI1330,0),2)</f>
        <v>0</v>
      </c>
      <c r="AF1330" s="34">
        <f t="shared" ref="AF1330:AF1343" si="160">ROUND(IF(AQ1330="2",BH1330,0),2)</f>
        <v>0</v>
      </c>
      <c r="AG1330" s="34">
        <f t="shared" ref="AG1330:AG1343" si="161">ROUND(IF(AQ1330="2",BI1330,0),2)</f>
        <v>0</v>
      </c>
      <c r="AH1330" s="34">
        <f t="shared" ref="AH1330:AH1343" si="162">ROUND(IF(AQ1330="0",BJ1330,0),2)</f>
        <v>0</v>
      </c>
      <c r="AI1330" s="46" t="s">
        <v>91</v>
      </c>
      <c r="AJ1330" s="34">
        <f t="shared" ref="AJ1330:AJ1343" si="163">IF(AN1330=0,I1330,0)</f>
        <v>0</v>
      </c>
      <c r="AK1330" s="34">
        <f t="shared" ref="AK1330:AK1343" si="164">IF(AN1330=12,I1330,0)</f>
        <v>0</v>
      </c>
      <c r="AL1330" s="34">
        <f t="shared" ref="AL1330:AL1343" si="165">IF(AN1330=21,I1330,0)</f>
        <v>0</v>
      </c>
      <c r="AN1330" s="34">
        <v>21</v>
      </c>
      <c r="AO1330" s="34">
        <f t="shared" ref="AO1330:AO1342" si="166">H1330*0</f>
        <v>0</v>
      </c>
      <c r="AP1330" s="34">
        <f t="shared" ref="AP1330:AP1342" si="167">H1330*(1-0)</f>
        <v>0</v>
      </c>
      <c r="AQ1330" s="65" t="s">
        <v>129</v>
      </c>
      <c r="AV1330" s="34">
        <f t="shared" ref="AV1330:AV1343" si="168">ROUND(AW1330+AX1330,2)</f>
        <v>0</v>
      </c>
      <c r="AW1330" s="34">
        <f t="shared" ref="AW1330:AW1343" si="169">ROUND(G1330*AO1330,2)</f>
        <v>0</v>
      </c>
      <c r="AX1330" s="34">
        <f t="shared" ref="AX1330:AX1343" si="170">ROUND(G1330*AP1330,2)</f>
        <v>0</v>
      </c>
      <c r="AY1330" s="65" t="s">
        <v>1843</v>
      </c>
      <c r="AZ1330" s="65" t="s">
        <v>2257</v>
      </c>
      <c r="BA1330" s="46" t="s">
        <v>2258</v>
      </c>
      <c r="BC1330" s="34">
        <f t="shared" ref="BC1330:BC1343" si="171">AW1330+AX1330</f>
        <v>0</v>
      </c>
      <c r="BD1330" s="34">
        <f t="shared" ref="BD1330:BD1343" si="172">H1330/(100-BE1330)*100</f>
        <v>0</v>
      </c>
      <c r="BE1330" s="34">
        <v>0</v>
      </c>
      <c r="BF1330" s="34">
        <f>1330</f>
        <v>1330</v>
      </c>
      <c r="BH1330" s="34">
        <f t="shared" ref="BH1330:BH1343" si="173">G1330*AO1330</f>
        <v>0</v>
      </c>
      <c r="BI1330" s="34">
        <f t="shared" ref="BI1330:BI1343" si="174">G1330*AP1330</f>
        <v>0</v>
      </c>
      <c r="BJ1330" s="34">
        <f t="shared" ref="BJ1330:BJ1343" si="175">G1330*H1330</f>
        <v>0</v>
      </c>
      <c r="BK1330" s="34"/>
      <c r="BL1330" s="34"/>
      <c r="BW1330" s="34">
        <v>21</v>
      </c>
      <c r="BX1330" s="3" t="s">
        <v>2508</v>
      </c>
    </row>
    <row r="1331" spans="1:76" x14ac:dyDescent="0.25">
      <c r="A1331" s="1" t="s">
        <v>2509</v>
      </c>
      <c r="B1331" s="2" t="s">
        <v>91</v>
      </c>
      <c r="C1331" s="2" t="s">
        <v>2510</v>
      </c>
      <c r="D1331" s="86" t="s">
        <v>2511</v>
      </c>
      <c r="E1331" s="81"/>
      <c r="F1331" s="2" t="s">
        <v>2269</v>
      </c>
      <c r="G1331" s="34">
        <v>36</v>
      </c>
      <c r="H1331" s="64">
        <v>0</v>
      </c>
      <c r="I1331" s="34">
        <f t="shared" si="154"/>
        <v>0</v>
      </c>
      <c r="J1331" s="65" t="s">
        <v>133</v>
      </c>
      <c r="K1331" s="59"/>
      <c r="Z1331" s="34">
        <f t="shared" si="155"/>
        <v>0</v>
      </c>
      <c r="AB1331" s="34">
        <f t="shared" si="156"/>
        <v>0</v>
      </c>
      <c r="AC1331" s="34">
        <f t="shared" si="157"/>
        <v>0</v>
      </c>
      <c r="AD1331" s="34">
        <f t="shared" si="158"/>
        <v>0</v>
      </c>
      <c r="AE1331" s="34">
        <f t="shared" si="159"/>
        <v>0</v>
      </c>
      <c r="AF1331" s="34">
        <f t="shared" si="160"/>
        <v>0</v>
      </c>
      <c r="AG1331" s="34">
        <f t="shared" si="161"/>
        <v>0</v>
      </c>
      <c r="AH1331" s="34">
        <f t="shared" si="162"/>
        <v>0</v>
      </c>
      <c r="AI1331" s="46" t="s">
        <v>91</v>
      </c>
      <c r="AJ1331" s="34">
        <f t="shared" si="163"/>
        <v>0</v>
      </c>
      <c r="AK1331" s="34">
        <f t="shared" si="164"/>
        <v>0</v>
      </c>
      <c r="AL1331" s="34">
        <f t="shared" si="165"/>
        <v>0</v>
      </c>
      <c r="AN1331" s="34">
        <v>21</v>
      </c>
      <c r="AO1331" s="34">
        <f t="shared" si="166"/>
        <v>0</v>
      </c>
      <c r="AP1331" s="34">
        <f t="shared" si="167"/>
        <v>0</v>
      </c>
      <c r="AQ1331" s="65" t="s">
        <v>129</v>
      </c>
      <c r="AV1331" s="34">
        <f t="shared" si="168"/>
        <v>0</v>
      </c>
      <c r="AW1331" s="34">
        <f t="shared" si="169"/>
        <v>0</v>
      </c>
      <c r="AX1331" s="34">
        <f t="shared" si="170"/>
        <v>0</v>
      </c>
      <c r="AY1331" s="65" t="s">
        <v>1843</v>
      </c>
      <c r="AZ1331" s="65" t="s">
        <v>2257</v>
      </c>
      <c r="BA1331" s="46" t="s">
        <v>2258</v>
      </c>
      <c r="BC1331" s="34">
        <f t="shared" si="171"/>
        <v>0</v>
      </c>
      <c r="BD1331" s="34">
        <f t="shared" si="172"/>
        <v>0</v>
      </c>
      <c r="BE1331" s="34">
        <v>0</v>
      </c>
      <c r="BF1331" s="34">
        <f>1331</f>
        <v>1331</v>
      </c>
      <c r="BH1331" s="34">
        <f t="shared" si="173"/>
        <v>0</v>
      </c>
      <c r="BI1331" s="34">
        <f t="shared" si="174"/>
        <v>0</v>
      </c>
      <c r="BJ1331" s="34">
        <f t="shared" si="175"/>
        <v>0</v>
      </c>
      <c r="BK1331" s="34"/>
      <c r="BL1331" s="34"/>
      <c r="BW1331" s="34">
        <v>21</v>
      </c>
      <c r="BX1331" s="3" t="s">
        <v>2511</v>
      </c>
    </row>
    <row r="1332" spans="1:76" x14ac:dyDescent="0.25">
      <c r="A1332" s="1" t="s">
        <v>2512</v>
      </c>
      <c r="B1332" s="2" t="s">
        <v>91</v>
      </c>
      <c r="C1332" s="2" t="s">
        <v>2513</v>
      </c>
      <c r="D1332" s="86" t="s">
        <v>2514</v>
      </c>
      <c r="E1332" s="81"/>
      <c r="F1332" s="2" t="s">
        <v>2269</v>
      </c>
      <c r="G1332" s="34">
        <v>4</v>
      </c>
      <c r="H1332" s="64">
        <v>0</v>
      </c>
      <c r="I1332" s="34">
        <f t="shared" si="154"/>
        <v>0</v>
      </c>
      <c r="J1332" s="65" t="s">
        <v>133</v>
      </c>
      <c r="K1332" s="59"/>
      <c r="Z1332" s="34">
        <f t="shared" si="155"/>
        <v>0</v>
      </c>
      <c r="AB1332" s="34">
        <f t="shared" si="156"/>
        <v>0</v>
      </c>
      <c r="AC1332" s="34">
        <f t="shared" si="157"/>
        <v>0</v>
      </c>
      <c r="AD1332" s="34">
        <f t="shared" si="158"/>
        <v>0</v>
      </c>
      <c r="AE1332" s="34">
        <f t="shared" si="159"/>
        <v>0</v>
      </c>
      <c r="AF1332" s="34">
        <f t="shared" si="160"/>
        <v>0</v>
      </c>
      <c r="AG1332" s="34">
        <f t="shared" si="161"/>
        <v>0</v>
      </c>
      <c r="AH1332" s="34">
        <f t="shared" si="162"/>
        <v>0</v>
      </c>
      <c r="AI1332" s="46" t="s">
        <v>91</v>
      </c>
      <c r="AJ1332" s="34">
        <f t="shared" si="163"/>
        <v>0</v>
      </c>
      <c r="AK1332" s="34">
        <f t="shared" si="164"/>
        <v>0</v>
      </c>
      <c r="AL1332" s="34">
        <f t="shared" si="165"/>
        <v>0</v>
      </c>
      <c r="AN1332" s="34">
        <v>21</v>
      </c>
      <c r="AO1332" s="34">
        <f t="shared" si="166"/>
        <v>0</v>
      </c>
      <c r="AP1332" s="34">
        <f t="shared" si="167"/>
        <v>0</v>
      </c>
      <c r="AQ1332" s="65" t="s">
        <v>129</v>
      </c>
      <c r="AV1332" s="34">
        <f t="shared" si="168"/>
        <v>0</v>
      </c>
      <c r="AW1332" s="34">
        <f t="shared" si="169"/>
        <v>0</v>
      </c>
      <c r="AX1332" s="34">
        <f t="shared" si="170"/>
        <v>0</v>
      </c>
      <c r="AY1332" s="65" t="s">
        <v>1843</v>
      </c>
      <c r="AZ1332" s="65" t="s">
        <v>2257</v>
      </c>
      <c r="BA1332" s="46" t="s">
        <v>2258</v>
      </c>
      <c r="BC1332" s="34">
        <f t="shared" si="171"/>
        <v>0</v>
      </c>
      <c r="BD1332" s="34">
        <f t="shared" si="172"/>
        <v>0</v>
      </c>
      <c r="BE1332" s="34">
        <v>0</v>
      </c>
      <c r="BF1332" s="34">
        <f>1332</f>
        <v>1332</v>
      </c>
      <c r="BH1332" s="34">
        <f t="shared" si="173"/>
        <v>0</v>
      </c>
      <c r="BI1332" s="34">
        <f t="shared" si="174"/>
        <v>0</v>
      </c>
      <c r="BJ1332" s="34">
        <f t="shared" si="175"/>
        <v>0</v>
      </c>
      <c r="BK1332" s="34"/>
      <c r="BL1332" s="34"/>
      <c r="BW1332" s="34">
        <v>21</v>
      </c>
      <c r="BX1332" s="3" t="s">
        <v>2514</v>
      </c>
    </row>
    <row r="1333" spans="1:76" x14ac:dyDescent="0.25">
      <c r="A1333" s="1" t="s">
        <v>2515</v>
      </c>
      <c r="B1333" s="2" t="s">
        <v>91</v>
      </c>
      <c r="C1333" s="2" t="s">
        <v>2516</v>
      </c>
      <c r="D1333" s="86" t="s">
        <v>2517</v>
      </c>
      <c r="E1333" s="81"/>
      <c r="F1333" s="2" t="s">
        <v>2269</v>
      </c>
      <c r="G1333" s="34">
        <v>50</v>
      </c>
      <c r="H1333" s="64">
        <v>0</v>
      </c>
      <c r="I1333" s="34">
        <f t="shared" si="154"/>
        <v>0</v>
      </c>
      <c r="J1333" s="65" t="s">
        <v>133</v>
      </c>
      <c r="K1333" s="59"/>
      <c r="Z1333" s="34">
        <f t="shared" si="155"/>
        <v>0</v>
      </c>
      <c r="AB1333" s="34">
        <f t="shared" si="156"/>
        <v>0</v>
      </c>
      <c r="AC1333" s="34">
        <f t="shared" si="157"/>
        <v>0</v>
      </c>
      <c r="AD1333" s="34">
        <f t="shared" si="158"/>
        <v>0</v>
      </c>
      <c r="AE1333" s="34">
        <f t="shared" si="159"/>
        <v>0</v>
      </c>
      <c r="AF1333" s="34">
        <f t="shared" si="160"/>
        <v>0</v>
      </c>
      <c r="AG1333" s="34">
        <f t="shared" si="161"/>
        <v>0</v>
      </c>
      <c r="AH1333" s="34">
        <f t="shared" si="162"/>
        <v>0</v>
      </c>
      <c r="AI1333" s="46" t="s">
        <v>91</v>
      </c>
      <c r="AJ1333" s="34">
        <f t="shared" si="163"/>
        <v>0</v>
      </c>
      <c r="AK1333" s="34">
        <f t="shared" si="164"/>
        <v>0</v>
      </c>
      <c r="AL1333" s="34">
        <f t="shared" si="165"/>
        <v>0</v>
      </c>
      <c r="AN1333" s="34">
        <v>21</v>
      </c>
      <c r="AO1333" s="34">
        <f t="shared" si="166"/>
        <v>0</v>
      </c>
      <c r="AP1333" s="34">
        <f t="shared" si="167"/>
        <v>0</v>
      </c>
      <c r="AQ1333" s="65" t="s">
        <v>140</v>
      </c>
      <c r="AV1333" s="34">
        <f t="shared" si="168"/>
        <v>0</v>
      </c>
      <c r="AW1333" s="34">
        <f t="shared" si="169"/>
        <v>0</v>
      </c>
      <c r="AX1333" s="34">
        <f t="shared" si="170"/>
        <v>0</v>
      </c>
      <c r="AY1333" s="65" t="s">
        <v>1843</v>
      </c>
      <c r="AZ1333" s="65" t="s">
        <v>2257</v>
      </c>
      <c r="BA1333" s="46" t="s">
        <v>2258</v>
      </c>
      <c r="BC1333" s="34">
        <f t="shared" si="171"/>
        <v>0</v>
      </c>
      <c r="BD1333" s="34">
        <f t="shared" si="172"/>
        <v>0</v>
      </c>
      <c r="BE1333" s="34">
        <v>0</v>
      </c>
      <c r="BF1333" s="34">
        <f>1333</f>
        <v>1333</v>
      </c>
      <c r="BH1333" s="34">
        <f t="shared" si="173"/>
        <v>0</v>
      </c>
      <c r="BI1333" s="34">
        <f t="shared" si="174"/>
        <v>0</v>
      </c>
      <c r="BJ1333" s="34">
        <f t="shared" si="175"/>
        <v>0</v>
      </c>
      <c r="BK1333" s="34"/>
      <c r="BL1333" s="34"/>
      <c r="BW1333" s="34">
        <v>21</v>
      </c>
      <c r="BX1333" s="3" t="s">
        <v>2517</v>
      </c>
    </row>
    <row r="1334" spans="1:76" x14ac:dyDescent="0.25">
      <c r="A1334" s="1" t="s">
        <v>2518</v>
      </c>
      <c r="B1334" s="2" t="s">
        <v>91</v>
      </c>
      <c r="C1334" s="2" t="s">
        <v>2502</v>
      </c>
      <c r="D1334" s="86" t="s">
        <v>2519</v>
      </c>
      <c r="E1334" s="81"/>
      <c r="F1334" s="2" t="s">
        <v>2269</v>
      </c>
      <c r="G1334" s="34">
        <v>4</v>
      </c>
      <c r="H1334" s="64">
        <v>0</v>
      </c>
      <c r="I1334" s="34">
        <f t="shared" si="154"/>
        <v>0</v>
      </c>
      <c r="J1334" s="65" t="s">
        <v>133</v>
      </c>
      <c r="K1334" s="59"/>
      <c r="Z1334" s="34">
        <f t="shared" si="155"/>
        <v>0</v>
      </c>
      <c r="AB1334" s="34">
        <f t="shared" si="156"/>
        <v>0</v>
      </c>
      <c r="AC1334" s="34">
        <f t="shared" si="157"/>
        <v>0</v>
      </c>
      <c r="AD1334" s="34">
        <f t="shared" si="158"/>
        <v>0</v>
      </c>
      <c r="AE1334" s="34">
        <f t="shared" si="159"/>
        <v>0</v>
      </c>
      <c r="AF1334" s="34">
        <f t="shared" si="160"/>
        <v>0</v>
      </c>
      <c r="AG1334" s="34">
        <f t="shared" si="161"/>
        <v>0</v>
      </c>
      <c r="AH1334" s="34">
        <f t="shared" si="162"/>
        <v>0</v>
      </c>
      <c r="AI1334" s="46" t="s">
        <v>91</v>
      </c>
      <c r="AJ1334" s="34">
        <f t="shared" si="163"/>
        <v>0</v>
      </c>
      <c r="AK1334" s="34">
        <f t="shared" si="164"/>
        <v>0</v>
      </c>
      <c r="AL1334" s="34">
        <f t="shared" si="165"/>
        <v>0</v>
      </c>
      <c r="AN1334" s="34">
        <v>21</v>
      </c>
      <c r="AO1334" s="34">
        <f t="shared" si="166"/>
        <v>0</v>
      </c>
      <c r="AP1334" s="34">
        <f t="shared" si="167"/>
        <v>0</v>
      </c>
      <c r="AQ1334" s="65" t="s">
        <v>129</v>
      </c>
      <c r="AV1334" s="34">
        <f t="shared" si="168"/>
        <v>0</v>
      </c>
      <c r="AW1334" s="34">
        <f t="shared" si="169"/>
        <v>0</v>
      </c>
      <c r="AX1334" s="34">
        <f t="shared" si="170"/>
        <v>0</v>
      </c>
      <c r="AY1334" s="65" t="s">
        <v>1843</v>
      </c>
      <c r="AZ1334" s="65" t="s">
        <v>2257</v>
      </c>
      <c r="BA1334" s="46" t="s">
        <v>2258</v>
      </c>
      <c r="BC1334" s="34">
        <f t="shared" si="171"/>
        <v>0</v>
      </c>
      <c r="BD1334" s="34">
        <f t="shared" si="172"/>
        <v>0</v>
      </c>
      <c r="BE1334" s="34">
        <v>0</v>
      </c>
      <c r="BF1334" s="34">
        <f>1334</f>
        <v>1334</v>
      </c>
      <c r="BH1334" s="34">
        <f t="shared" si="173"/>
        <v>0</v>
      </c>
      <c r="BI1334" s="34">
        <f t="shared" si="174"/>
        <v>0</v>
      </c>
      <c r="BJ1334" s="34">
        <f t="shared" si="175"/>
        <v>0</v>
      </c>
      <c r="BK1334" s="34"/>
      <c r="BL1334" s="34"/>
      <c r="BW1334" s="34">
        <v>21</v>
      </c>
      <c r="BX1334" s="3" t="s">
        <v>2519</v>
      </c>
    </row>
    <row r="1335" spans="1:76" x14ac:dyDescent="0.25">
      <c r="A1335" s="1" t="s">
        <v>2520</v>
      </c>
      <c r="B1335" s="2" t="s">
        <v>91</v>
      </c>
      <c r="C1335" s="2" t="s">
        <v>2499</v>
      </c>
      <c r="D1335" s="86" t="s">
        <v>2521</v>
      </c>
      <c r="E1335" s="81"/>
      <c r="F1335" s="2" t="s">
        <v>2269</v>
      </c>
      <c r="G1335" s="34">
        <v>5</v>
      </c>
      <c r="H1335" s="64">
        <v>0</v>
      </c>
      <c r="I1335" s="34">
        <f t="shared" si="154"/>
        <v>0</v>
      </c>
      <c r="J1335" s="65" t="s">
        <v>133</v>
      </c>
      <c r="K1335" s="59"/>
      <c r="Z1335" s="34">
        <f t="shared" si="155"/>
        <v>0</v>
      </c>
      <c r="AB1335" s="34">
        <f t="shared" si="156"/>
        <v>0</v>
      </c>
      <c r="AC1335" s="34">
        <f t="shared" si="157"/>
        <v>0</v>
      </c>
      <c r="AD1335" s="34">
        <f t="shared" si="158"/>
        <v>0</v>
      </c>
      <c r="AE1335" s="34">
        <f t="shared" si="159"/>
        <v>0</v>
      </c>
      <c r="AF1335" s="34">
        <f t="shared" si="160"/>
        <v>0</v>
      </c>
      <c r="AG1335" s="34">
        <f t="shared" si="161"/>
        <v>0</v>
      </c>
      <c r="AH1335" s="34">
        <f t="shared" si="162"/>
        <v>0</v>
      </c>
      <c r="AI1335" s="46" t="s">
        <v>91</v>
      </c>
      <c r="AJ1335" s="34">
        <f t="shared" si="163"/>
        <v>0</v>
      </c>
      <c r="AK1335" s="34">
        <f t="shared" si="164"/>
        <v>0</v>
      </c>
      <c r="AL1335" s="34">
        <f t="shared" si="165"/>
        <v>0</v>
      </c>
      <c r="AN1335" s="34">
        <v>21</v>
      </c>
      <c r="AO1335" s="34">
        <f t="shared" si="166"/>
        <v>0</v>
      </c>
      <c r="AP1335" s="34">
        <f t="shared" si="167"/>
        <v>0</v>
      </c>
      <c r="AQ1335" s="65" t="s">
        <v>140</v>
      </c>
      <c r="AV1335" s="34">
        <f t="shared" si="168"/>
        <v>0</v>
      </c>
      <c r="AW1335" s="34">
        <f t="shared" si="169"/>
        <v>0</v>
      </c>
      <c r="AX1335" s="34">
        <f t="shared" si="170"/>
        <v>0</v>
      </c>
      <c r="AY1335" s="65" t="s">
        <v>1843</v>
      </c>
      <c r="AZ1335" s="65" t="s">
        <v>2257</v>
      </c>
      <c r="BA1335" s="46" t="s">
        <v>2258</v>
      </c>
      <c r="BC1335" s="34">
        <f t="shared" si="171"/>
        <v>0</v>
      </c>
      <c r="BD1335" s="34">
        <f t="shared" si="172"/>
        <v>0</v>
      </c>
      <c r="BE1335" s="34">
        <v>0</v>
      </c>
      <c r="BF1335" s="34">
        <f>1335</f>
        <v>1335</v>
      </c>
      <c r="BH1335" s="34">
        <f t="shared" si="173"/>
        <v>0</v>
      </c>
      <c r="BI1335" s="34">
        <f t="shared" si="174"/>
        <v>0</v>
      </c>
      <c r="BJ1335" s="34">
        <f t="shared" si="175"/>
        <v>0</v>
      </c>
      <c r="BK1335" s="34"/>
      <c r="BL1335" s="34"/>
      <c r="BW1335" s="34">
        <v>21</v>
      </c>
      <c r="BX1335" s="3" t="s">
        <v>2521</v>
      </c>
    </row>
    <row r="1336" spans="1:76" x14ac:dyDescent="0.25">
      <c r="A1336" s="1" t="s">
        <v>2522</v>
      </c>
      <c r="B1336" s="2" t="s">
        <v>91</v>
      </c>
      <c r="C1336" s="2" t="s">
        <v>2496</v>
      </c>
      <c r="D1336" s="86" t="s">
        <v>2523</v>
      </c>
      <c r="E1336" s="81"/>
      <c r="F1336" s="2" t="s">
        <v>2269</v>
      </c>
      <c r="G1336" s="34">
        <v>10</v>
      </c>
      <c r="H1336" s="64">
        <v>0</v>
      </c>
      <c r="I1336" s="34">
        <f t="shared" si="154"/>
        <v>0</v>
      </c>
      <c r="J1336" s="65" t="s">
        <v>133</v>
      </c>
      <c r="K1336" s="59"/>
      <c r="Z1336" s="34">
        <f t="shared" si="155"/>
        <v>0</v>
      </c>
      <c r="AB1336" s="34">
        <f t="shared" si="156"/>
        <v>0</v>
      </c>
      <c r="AC1336" s="34">
        <f t="shared" si="157"/>
        <v>0</v>
      </c>
      <c r="AD1336" s="34">
        <f t="shared" si="158"/>
        <v>0</v>
      </c>
      <c r="AE1336" s="34">
        <f t="shared" si="159"/>
        <v>0</v>
      </c>
      <c r="AF1336" s="34">
        <f t="shared" si="160"/>
        <v>0</v>
      </c>
      <c r="AG1336" s="34">
        <f t="shared" si="161"/>
        <v>0</v>
      </c>
      <c r="AH1336" s="34">
        <f t="shared" si="162"/>
        <v>0</v>
      </c>
      <c r="AI1336" s="46" t="s">
        <v>91</v>
      </c>
      <c r="AJ1336" s="34">
        <f t="shared" si="163"/>
        <v>0</v>
      </c>
      <c r="AK1336" s="34">
        <f t="shared" si="164"/>
        <v>0</v>
      </c>
      <c r="AL1336" s="34">
        <f t="shared" si="165"/>
        <v>0</v>
      </c>
      <c r="AN1336" s="34">
        <v>21</v>
      </c>
      <c r="AO1336" s="34">
        <f t="shared" si="166"/>
        <v>0</v>
      </c>
      <c r="AP1336" s="34">
        <f t="shared" si="167"/>
        <v>0</v>
      </c>
      <c r="AQ1336" s="65" t="s">
        <v>140</v>
      </c>
      <c r="AV1336" s="34">
        <f t="shared" si="168"/>
        <v>0</v>
      </c>
      <c r="AW1336" s="34">
        <f t="shared" si="169"/>
        <v>0</v>
      </c>
      <c r="AX1336" s="34">
        <f t="shared" si="170"/>
        <v>0</v>
      </c>
      <c r="AY1336" s="65" t="s">
        <v>1843</v>
      </c>
      <c r="AZ1336" s="65" t="s">
        <v>2257</v>
      </c>
      <c r="BA1336" s="46" t="s">
        <v>2258</v>
      </c>
      <c r="BC1336" s="34">
        <f t="shared" si="171"/>
        <v>0</v>
      </c>
      <c r="BD1336" s="34">
        <f t="shared" si="172"/>
        <v>0</v>
      </c>
      <c r="BE1336" s="34">
        <v>0</v>
      </c>
      <c r="BF1336" s="34">
        <f>1336</f>
        <v>1336</v>
      </c>
      <c r="BH1336" s="34">
        <f t="shared" si="173"/>
        <v>0</v>
      </c>
      <c r="BI1336" s="34">
        <f t="shared" si="174"/>
        <v>0</v>
      </c>
      <c r="BJ1336" s="34">
        <f t="shared" si="175"/>
        <v>0</v>
      </c>
      <c r="BK1336" s="34"/>
      <c r="BL1336" s="34"/>
      <c r="BW1336" s="34">
        <v>21</v>
      </c>
      <c r="BX1336" s="3" t="s">
        <v>2523</v>
      </c>
    </row>
    <row r="1337" spans="1:76" x14ac:dyDescent="0.25">
      <c r="A1337" s="1" t="s">
        <v>2524</v>
      </c>
      <c r="B1337" s="2" t="s">
        <v>91</v>
      </c>
      <c r="C1337" s="2" t="s">
        <v>2493</v>
      </c>
      <c r="D1337" s="86" t="s">
        <v>2525</v>
      </c>
      <c r="E1337" s="81"/>
      <c r="F1337" s="2" t="s">
        <v>239</v>
      </c>
      <c r="G1337" s="34">
        <v>120</v>
      </c>
      <c r="H1337" s="64">
        <v>0</v>
      </c>
      <c r="I1337" s="34">
        <f t="shared" si="154"/>
        <v>0</v>
      </c>
      <c r="J1337" s="65" t="s">
        <v>133</v>
      </c>
      <c r="K1337" s="59"/>
      <c r="Z1337" s="34">
        <f t="shared" si="155"/>
        <v>0</v>
      </c>
      <c r="AB1337" s="34">
        <f t="shared" si="156"/>
        <v>0</v>
      </c>
      <c r="AC1337" s="34">
        <f t="shared" si="157"/>
        <v>0</v>
      </c>
      <c r="AD1337" s="34">
        <f t="shared" si="158"/>
        <v>0</v>
      </c>
      <c r="AE1337" s="34">
        <f t="shared" si="159"/>
        <v>0</v>
      </c>
      <c r="AF1337" s="34">
        <f t="shared" si="160"/>
        <v>0</v>
      </c>
      <c r="AG1337" s="34">
        <f t="shared" si="161"/>
        <v>0</v>
      </c>
      <c r="AH1337" s="34">
        <f t="shared" si="162"/>
        <v>0</v>
      </c>
      <c r="AI1337" s="46" t="s">
        <v>91</v>
      </c>
      <c r="AJ1337" s="34">
        <f t="shared" si="163"/>
        <v>0</v>
      </c>
      <c r="AK1337" s="34">
        <f t="shared" si="164"/>
        <v>0</v>
      </c>
      <c r="AL1337" s="34">
        <f t="shared" si="165"/>
        <v>0</v>
      </c>
      <c r="AN1337" s="34">
        <v>21</v>
      </c>
      <c r="AO1337" s="34">
        <f t="shared" si="166"/>
        <v>0</v>
      </c>
      <c r="AP1337" s="34">
        <f t="shared" si="167"/>
        <v>0</v>
      </c>
      <c r="AQ1337" s="65" t="s">
        <v>129</v>
      </c>
      <c r="AV1337" s="34">
        <f t="shared" si="168"/>
        <v>0</v>
      </c>
      <c r="AW1337" s="34">
        <f t="shared" si="169"/>
        <v>0</v>
      </c>
      <c r="AX1337" s="34">
        <f t="shared" si="170"/>
        <v>0</v>
      </c>
      <c r="AY1337" s="65" t="s">
        <v>1843</v>
      </c>
      <c r="AZ1337" s="65" t="s">
        <v>2257</v>
      </c>
      <c r="BA1337" s="46" t="s">
        <v>2258</v>
      </c>
      <c r="BC1337" s="34">
        <f t="shared" si="171"/>
        <v>0</v>
      </c>
      <c r="BD1337" s="34">
        <f t="shared" si="172"/>
        <v>0</v>
      </c>
      <c r="BE1337" s="34">
        <v>0</v>
      </c>
      <c r="BF1337" s="34">
        <f>1337</f>
        <v>1337</v>
      </c>
      <c r="BH1337" s="34">
        <f t="shared" si="173"/>
        <v>0</v>
      </c>
      <c r="BI1337" s="34">
        <f t="shared" si="174"/>
        <v>0</v>
      </c>
      <c r="BJ1337" s="34">
        <f t="shared" si="175"/>
        <v>0</v>
      </c>
      <c r="BK1337" s="34"/>
      <c r="BL1337" s="34"/>
      <c r="BW1337" s="34">
        <v>21</v>
      </c>
      <c r="BX1337" s="3" t="s">
        <v>2525</v>
      </c>
    </row>
    <row r="1338" spans="1:76" x14ac:dyDescent="0.25">
      <c r="A1338" s="1" t="s">
        <v>2526</v>
      </c>
      <c r="B1338" s="2" t="s">
        <v>91</v>
      </c>
      <c r="C1338" s="2" t="s">
        <v>2490</v>
      </c>
      <c r="D1338" s="86" t="s">
        <v>2527</v>
      </c>
      <c r="E1338" s="81"/>
      <c r="F1338" s="2" t="s">
        <v>239</v>
      </c>
      <c r="G1338" s="34">
        <v>16</v>
      </c>
      <c r="H1338" s="64">
        <v>0</v>
      </c>
      <c r="I1338" s="34">
        <f t="shared" si="154"/>
        <v>0</v>
      </c>
      <c r="J1338" s="65" t="s">
        <v>133</v>
      </c>
      <c r="K1338" s="59"/>
      <c r="Z1338" s="34">
        <f t="shared" si="155"/>
        <v>0</v>
      </c>
      <c r="AB1338" s="34">
        <f t="shared" si="156"/>
        <v>0</v>
      </c>
      <c r="AC1338" s="34">
        <f t="shared" si="157"/>
        <v>0</v>
      </c>
      <c r="AD1338" s="34">
        <f t="shared" si="158"/>
        <v>0</v>
      </c>
      <c r="AE1338" s="34">
        <f t="shared" si="159"/>
        <v>0</v>
      </c>
      <c r="AF1338" s="34">
        <f t="shared" si="160"/>
        <v>0</v>
      </c>
      <c r="AG1338" s="34">
        <f t="shared" si="161"/>
        <v>0</v>
      </c>
      <c r="AH1338" s="34">
        <f t="shared" si="162"/>
        <v>0</v>
      </c>
      <c r="AI1338" s="46" t="s">
        <v>91</v>
      </c>
      <c r="AJ1338" s="34">
        <f t="shared" si="163"/>
        <v>0</v>
      </c>
      <c r="AK1338" s="34">
        <f t="shared" si="164"/>
        <v>0</v>
      </c>
      <c r="AL1338" s="34">
        <f t="shared" si="165"/>
        <v>0</v>
      </c>
      <c r="AN1338" s="34">
        <v>21</v>
      </c>
      <c r="AO1338" s="34">
        <f t="shared" si="166"/>
        <v>0</v>
      </c>
      <c r="AP1338" s="34">
        <f t="shared" si="167"/>
        <v>0</v>
      </c>
      <c r="AQ1338" s="65" t="s">
        <v>129</v>
      </c>
      <c r="AV1338" s="34">
        <f t="shared" si="168"/>
        <v>0</v>
      </c>
      <c r="AW1338" s="34">
        <f t="shared" si="169"/>
        <v>0</v>
      </c>
      <c r="AX1338" s="34">
        <f t="shared" si="170"/>
        <v>0</v>
      </c>
      <c r="AY1338" s="65" t="s">
        <v>1843</v>
      </c>
      <c r="AZ1338" s="65" t="s">
        <v>2257</v>
      </c>
      <c r="BA1338" s="46" t="s">
        <v>2258</v>
      </c>
      <c r="BC1338" s="34">
        <f t="shared" si="171"/>
        <v>0</v>
      </c>
      <c r="BD1338" s="34">
        <f t="shared" si="172"/>
        <v>0</v>
      </c>
      <c r="BE1338" s="34">
        <v>0</v>
      </c>
      <c r="BF1338" s="34">
        <f>1338</f>
        <v>1338</v>
      </c>
      <c r="BH1338" s="34">
        <f t="shared" si="173"/>
        <v>0</v>
      </c>
      <c r="BI1338" s="34">
        <f t="shared" si="174"/>
        <v>0</v>
      </c>
      <c r="BJ1338" s="34">
        <f t="shared" si="175"/>
        <v>0</v>
      </c>
      <c r="BK1338" s="34"/>
      <c r="BL1338" s="34"/>
      <c r="BW1338" s="34">
        <v>21</v>
      </c>
      <c r="BX1338" s="3" t="s">
        <v>2527</v>
      </c>
    </row>
    <row r="1339" spans="1:76" x14ac:dyDescent="0.25">
      <c r="A1339" s="1" t="s">
        <v>2528</v>
      </c>
      <c r="B1339" s="2" t="s">
        <v>91</v>
      </c>
      <c r="C1339" s="2" t="s">
        <v>2529</v>
      </c>
      <c r="D1339" s="86" t="s">
        <v>2530</v>
      </c>
      <c r="E1339" s="81"/>
      <c r="F1339" s="2" t="s">
        <v>2269</v>
      </c>
      <c r="G1339" s="34">
        <v>4</v>
      </c>
      <c r="H1339" s="64">
        <v>0</v>
      </c>
      <c r="I1339" s="34">
        <f t="shared" si="154"/>
        <v>0</v>
      </c>
      <c r="J1339" s="65" t="s">
        <v>133</v>
      </c>
      <c r="K1339" s="59"/>
      <c r="Z1339" s="34">
        <f t="shared" si="155"/>
        <v>0</v>
      </c>
      <c r="AB1339" s="34">
        <f t="shared" si="156"/>
        <v>0</v>
      </c>
      <c r="AC1339" s="34">
        <f t="shared" si="157"/>
        <v>0</v>
      </c>
      <c r="AD1339" s="34">
        <f t="shared" si="158"/>
        <v>0</v>
      </c>
      <c r="AE1339" s="34">
        <f t="shared" si="159"/>
        <v>0</v>
      </c>
      <c r="AF1339" s="34">
        <f t="shared" si="160"/>
        <v>0</v>
      </c>
      <c r="AG1339" s="34">
        <f t="shared" si="161"/>
        <v>0</v>
      </c>
      <c r="AH1339" s="34">
        <f t="shared" si="162"/>
        <v>0</v>
      </c>
      <c r="AI1339" s="46" t="s">
        <v>91</v>
      </c>
      <c r="AJ1339" s="34">
        <f t="shared" si="163"/>
        <v>0</v>
      </c>
      <c r="AK1339" s="34">
        <f t="shared" si="164"/>
        <v>0</v>
      </c>
      <c r="AL1339" s="34">
        <f t="shared" si="165"/>
        <v>0</v>
      </c>
      <c r="AN1339" s="34">
        <v>21</v>
      </c>
      <c r="AO1339" s="34">
        <f t="shared" si="166"/>
        <v>0</v>
      </c>
      <c r="AP1339" s="34">
        <f t="shared" si="167"/>
        <v>0</v>
      </c>
      <c r="AQ1339" s="65" t="s">
        <v>129</v>
      </c>
      <c r="AV1339" s="34">
        <f t="shared" si="168"/>
        <v>0</v>
      </c>
      <c r="AW1339" s="34">
        <f t="shared" si="169"/>
        <v>0</v>
      </c>
      <c r="AX1339" s="34">
        <f t="shared" si="170"/>
        <v>0</v>
      </c>
      <c r="AY1339" s="65" t="s">
        <v>1843</v>
      </c>
      <c r="AZ1339" s="65" t="s">
        <v>2257</v>
      </c>
      <c r="BA1339" s="46" t="s">
        <v>2258</v>
      </c>
      <c r="BC1339" s="34">
        <f t="shared" si="171"/>
        <v>0</v>
      </c>
      <c r="BD1339" s="34">
        <f t="shared" si="172"/>
        <v>0</v>
      </c>
      <c r="BE1339" s="34">
        <v>0</v>
      </c>
      <c r="BF1339" s="34">
        <f>1339</f>
        <v>1339</v>
      </c>
      <c r="BH1339" s="34">
        <f t="shared" si="173"/>
        <v>0</v>
      </c>
      <c r="BI1339" s="34">
        <f t="shared" si="174"/>
        <v>0</v>
      </c>
      <c r="BJ1339" s="34">
        <f t="shared" si="175"/>
        <v>0</v>
      </c>
      <c r="BK1339" s="34"/>
      <c r="BL1339" s="34"/>
      <c r="BW1339" s="34">
        <v>21</v>
      </c>
      <c r="BX1339" s="3" t="s">
        <v>2530</v>
      </c>
    </row>
    <row r="1340" spans="1:76" x14ac:dyDescent="0.25">
      <c r="A1340" s="1" t="s">
        <v>2531</v>
      </c>
      <c r="B1340" s="2" t="s">
        <v>91</v>
      </c>
      <c r="C1340" s="2" t="s">
        <v>2532</v>
      </c>
      <c r="D1340" s="86" t="s">
        <v>2533</v>
      </c>
      <c r="E1340" s="81"/>
      <c r="F1340" s="2" t="s">
        <v>2269</v>
      </c>
      <c r="G1340" s="34">
        <v>8</v>
      </c>
      <c r="H1340" s="64">
        <v>0</v>
      </c>
      <c r="I1340" s="34">
        <f t="shared" si="154"/>
        <v>0</v>
      </c>
      <c r="J1340" s="65" t="s">
        <v>133</v>
      </c>
      <c r="K1340" s="59"/>
      <c r="Z1340" s="34">
        <f t="shared" si="155"/>
        <v>0</v>
      </c>
      <c r="AB1340" s="34">
        <f t="shared" si="156"/>
        <v>0</v>
      </c>
      <c r="AC1340" s="34">
        <f t="shared" si="157"/>
        <v>0</v>
      </c>
      <c r="AD1340" s="34">
        <f t="shared" si="158"/>
        <v>0</v>
      </c>
      <c r="AE1340" s="34">
        <f t="shared" si="159"/>
        <v>0</v>
      </c>
      <c r="AF1340" s="34">
        <f t="shared" si="160"/>
        <v>0</v>
      </c>
      <c r="AG1340" s="34">
        <f t="shared" si="161"/>
        <v>0</v>
      </c>
      <c r="AH1340" s="34">
        <f t="shared" si="162"/>
        <v>0</v>
      </c>
      <c r="AI1340" s="46" t="s">
        <v>91</v>
      </c>
      <c r="AJ1340" s="34">
        <f t="shared" si="163"/>
        <v>0</v>
      </c>
      <c r="AK1340" s="34">
        <f t="shared" si="164"/>
        <v>0</v>
      </c>
      <c r="AL1340" s="34">
        <f t="shared" si="165"/>
        <v>0</v>
      </c>
      <c r="AN1340" s="34">
        <v>21</v>
      </c>
      <c r="AO1340" s="34">
        <f t="shared" si="166"/>
        <v>0</v>
      </c>
      <c r="AP1340" s="34">
        <f t="shared" si="167"/>
        <v>0</v>
      </c>
      <c r="AQ1340" s="65" t="s">
        <v>129</v>
      </c>
      <c r="AV1340" s="34">
        <f t="shared" si="168"/>
        <v>0</v>
      </c>
      <c r="AW1340" s="34">
        <f t="shared" si="169"/>
        <v>0</v>
      </c>
      <c r="AX1340" s="34">
        <f t="shared" si="170"/>
        <v>0</v>
      </c>
      <c r="AY1340" s="65" t="s">
        <v>1843</v>
      </c>
      <c r="AZ1340" s="65" t="s">
        <v>2257</v>
      </c>
      <c r="BA1340" s="46" t="s">
        <v>2258</v>
      </c>
      <c r="BC1340" s="34">
        <f t="shared" si="171"/>
        <v>0</v>
      </c>
      <c r="BD1340" s="34">
        <f t="shared" si="172"/>
        <v>0</v>
      </c>
      <c r="BE1340" s="34">
        <v>0</v>
      </c>
      <c r="BF1340" s="34">
        <f>1340</f>
        <v>1340</v>
      </c>
      <c r="BH1340" s="34">
        <f t="shared" si="173"/>
        <v>0</v>
      </c>
      <c r="BI1340" s="34">
        <f t="shared" si="174"/>
        <v>0</v>
      </c>
      <c r="BJ1340" s="34">
        <f t="shared" si="175"/>
        <v>0</v>
      </c>
      <c r="BK1340" s="34"/>
      <c r="BL1340" s="34"/>
      <c r="BW1340" s="34">
        <v>21</v>
      </c>
      <c r="BX1340" s="3" t="s">
        <v>2533</v>
      </c>
    </row>
    <row r="1341" spans="1:76" x14ac:dyDescent="0.25">
      <c r="A1341" s="1" t="s">
        <v>2534</v>
      </c>
      <c r="B1341" s="2" t="s">
        <v>91</v>
      </c>
      <c r="C1341" s="2" t="s">
        <v>2535</v>
      </c>
      <c r="D1341" s="86" t="s">
        <v>2536</v>
      </c>
      <c r="E1341" s="81"/>
      <c r="F1341" s="2" t="s">
        <v>2269</v>
      </c>
      <c r="G1341" s="34">
        <v>8</v>
      </c>
      <c r="H1341" s="64">
        <v>0</v>
      </c>
      <c r="I1341" s="34">
        <f t="shared" si="154"/>
        <v>0</v>
      </c>
      <c r="J1341" s="65" t="s">
        <v>133</v>
      </c>
      <c r="K1341" s="59"/>
      <c r="Z1341" s="34">
        <f t="shared" si="155"/>
        <v>0</v>
      </c>
      <c r="AB1341" s="34">
        <f t="shared" si="156"/>
        <v>0</v>
      </c>
      <c r="AC1341" s="34">
        <f t="shared" si="157"/>
        <v>0</v>
      </c>
      <c r="AD1341" s="34">
        <f t="shared" si="158"/>
        <v>0</v>
      </c>
      <c r="AE1341" s="34">
        <f t="shared" si="159"/>
        <v>0</v>
      </c>
      <c r="AF1341" s="34">
        <f t="shared" si="160"/>
        <v>0</v>
      </c>
      <c r="AG1341" s="34">
        <f t="shared" si="161"/>
        <v>0</v>
      </c>
      <c r="AH1341" s="34">
        <f t="shared" si="162"/>
        <v>0</v>
      </c>
      <c r="AI1341" s="46" t="s">
        <v>91</v>
      </c>
      <c r="AJ1341" s="34">
        <f t="shared" si="163"/>
        <v>0</v>
      </c>
      <c r="AK1341" s="34">
        <f t="shared" si="164"/>
        <v>0</v>
      </c>
      <c r="AL1341" s="34">
        <f t="shared" si="165"/>
        <v>0</v>
      </c>
      <c r="AN1341" s="34">
        <v>21</v>
      </c>
      <c r="AO1341" s="34">
        <f t="shared" si="166"/>
        <v>0</v>
      </c>
      <c r="AP1341" s="34">
        <f t="shared" si="167"/>
        <v>0</v>
      </c>
      <c r="AQ1341" s="65" t="s">
        <v>129</v>
      </c>
      <c r="AV1341" s="34">
        <f t="shared" si="168"/>
        <v>0</v>
      </c>
      <c r="AW1341" s="34">
        <f t="shared" si="169"/>
        <v>0</v>
      </c>
      <c r="AX1341" s="34">
        <f t="shared" si="170"/>
        <v>0</v>
      </c>
      <c r="AY1341" s="65" t="s">
        <v>1843</v>
      </c>
      <c r="AZ1341" s="65" t="s">
        <v>2257</v>
      </c>
      <c r="BA1341" s="46" t="s">
        <v>2258</v>
      </c>
      <c r="BC1341" s="34">
        <f t="shared" si="171"/>
        <v>0</v>
      </c>
      <c r="BD1341" s="34">
        <f t="shared" si="172"/>
        <v>0</v>
      </c>
      <c r="BE1341" s="34">
        <v>0</v>
      </c>
      <c r="BF1341" s="34">
        <f>1341</f>
        <v>1341</v>
      </c>
      <c r="BH1341" s="34">
        <f t="shared" si="173"/>
        <v>0</v>
      </c>
      <c r="BI1341" s="34">
        <f t="shared" si="174"/>
        <v>0</v>
      </c>
      <c r="BJ1341" s="34">
        <f t="shared" si="175"/>
        <v>0</v>
      </c>
      <c r="BK1341" s="34"/>
      <c r="BL1341" s="34"/>
      <c r="BW1341" s="34">
        <v>21</v>
      </c>
      <c r="BX1341" s="3" t="s">
        <v>2536</v>
      </c>
    </row>
    <row r="1342" spans="1:76" x14ac:dyDescent="0.25">
      <c r="A1342" s="1" t="s">
        <v>2537</v>
      </c>
      <c r="B1342" s="2" t="s">
        <v>91</v>
      </c>
      <c r="C1342" s="2" t="s">
        <v>2538</v>
      </c>
      <c r="D1342" s="86" t="s">
        <v>2539</v>
      </c>
      <c r="E1342" s="81"/>
      <c r="F1342" s="2" t="s">
        <v>2269</v>
      </c>
      <c r="G1342" s="34">
        <v>4</v>
      </c>
      <c r="H1342" s="64">
        <v>0</v>
      </c>
      <c r="I1342" s="34">
        <f t="shared" si="154"/>
        <v>0</v>
      </c>
      <c r="J1342" s="65" t="s">
        <v>133</v>
      </c>
      <c r="K1342" s="59"/>
      <c r="Z1342" s="34">
        <f t="shared" si="155"/>
        <v>0</v>
      </c>
      <c r="AB1342" s="34">
        <f t="shared" si="156"/>
        <v>0</v>
      </c>
      <c r="AC1342" s="34">
        <f t="shared" si="157"/>
        <v>0</v>
      </c>
      <c r="AD1342" s="34">
        <f t="shared" si="158"/>
        <v>0</v>
      </c>
      <c r="AE1342" s="34">
        <f t="shared" si="159"/>
        <v>0</v>
      </c>
      <c r="AF1342" s="34">
        <f t="shared" si="160"/>
        <v>0</v>
      </c>
      <c r="AG1342" s="34">
        <f t="shared" si="161"/>
        <v>0</v>
      </c>
      <c r="AH1342" s="34">
        <f t="shared" si="162"/>
        <v>0</v>
      </c>
      <c r="AI1342" s="46" t="s">
        <v>91</v>
      </c>
      <c r="AJ1342" s="34">
        <f t="shared" si="163"/>
        <v>0</v>
      </c>
      <c r="AK1342" s="34">
        <f t="shared" si="164"/>
        <v>0</v>
      </c>
      <c r="AL1342" s="34">
        <f t="shared" si="165"/>
        <v>0</v>
      </c>
      <c r="AN1342" s="34">
        <v>21</v>
      </c>
      <c r="AO1342" s="34">
        <f t="shared" si="166"/>
        <v>0</v>
      </c>
      <c r="AP1342" s="34">
        <f t="shared" si="167"/>
        <v>0</v>
      </c>
      <c r="AQ1342" s="65" t="s">
        <v>129</v>
      </c>
      <c r="AV1342" s="34">
        <f t="shared" si="168"/>
        <v>0</v>
      </c>
      <c r="AW1342" s="34">
        <f t="shared" si="169"/>
        <v>0</v>
      </c>
      <c r="AX1342" s="34">
        <f t="shared" si="170"/>
        <v>0</v>
      </c>
      <c r="AY1342" s="65" t="s">
        <v>1843</v>
      </c>
      <c r="AZ1342" s="65" t="s">
        <v>2257</v>
      </c>
      <c r="BA1342" s="46" t="s">
        <v>2258</v>
      </c>
      <c r="BC1342" s="34">
        <f t="shared" si="171"/>
        <v>0</v>
      </c>
      <c r="BD1342" s="34">
        <f t="shared" si="172"/>
        <v>0</v>
      </c>
      <c r="BE1342" s="34">
        <v>0</v>
      </c>
      <c r="BF1342" s="34">
        <f>1342</f>
        <v>1342</v>
      </c>
      <c r="BH1342" s="34">
        <f t="shared" si="173"/>
        <v>0</v>
      </c>
      <c r="BI1342" s="34">
        <f t="shared" si="174"/>
        <v>0</v>
      </c>
      <c r="BJ1342" s="34">
        <f t="shared" si="175"/>
        <v>0</v>
      </c>
      <c r="BK1342" s="34"/>
      <c r="BL1342" s="34"/>
      <c r="BW1342" s="34">
        <v>21</v>
      </c>
      <c r="BX1342" s="3" t="s">
        <v>2539</v>
      </c>
    </row>
    <row r="1343" spans="1:76" x14ac:dyDescent="0.25">
      <c r="A1343" s="1" t="s">
        <v>2540</v>
      </c>
      <c r="B1343" s="2" t="s">
        <v>91</v>
      </c>
      <c r="C1343" s="2" t="s">
        <v>1899</v>
      </c>
      <c r="D1343" s="86" t="s">
        <v>2541</v>
      </c>
      <c r="E1343" s="81"/>
      <c r="F1343" s="2" t="s">
        <v>2269</v>
      </c>
      <c r="G1343" s="34">
        <v>1</v>
      </c>
      <c r="H1343" s="64">
        <v>0</v>
      </c>
      <c r="I1343" s="34">
        <f t="shared" si="154"/>
        <v>0</v>
      </c>
      <c r="J1343" s="65" t="s">
        <v>133</v>
      </c>
      <c r="K1343" s="59"/>
      <c r="Z1343" s="34">
        <f t="shared" si="155"/>
        <v>0</v>
      </c>
      <c r="AB1343" s="34">
        <f t="shared" si="156"/>
        <v>0</v>
      </c>
      <c r="AC1343" s="34">
        <f t="shared" si="157"/>
        <v>0</v>
      </c>
      <c r="AD1343" s="34">
        <f t="shared" si="158"/>
        <v>0</v>
      </c>
      <c r="AE1343" s="34">
        <f t="shared" si="159"/>
        <v>0</v>
      </c>
      <c r="AF1343" s="34">
        <f t="shared" si="160"/>
        <v>0</v>
      </c>
      <c r="AG1343" s="34">
        <f t="shared" si="161"/>
        <v>0</v>
      </c>
      <c r="AH1343" s="34">
        <f t="shared" si="162"/>
        <v>0</v>
      </c>
      <c r="AI1343" s="46" t="s">
        <v>91</v>
      </c>
      <c r="AJ1343" s="34">
        <f t="shared" si="163"/>
        <v>0</v>
      </c>
      <c r="AK1343" s="34">
        <f t="shared" si="164"/>
        <v>0</v>
      </c>
      <c r="AL1343" s="34">
        <f t="shared" si="165"/>
        <v>0</v>
      </c>
      <c r="AN1343" s="34">
        <v>21</v>
      </c>
      <c r="AO1343" s="34">
        <f>H1343*1</f>
        <v>0</v>
      </c>
      <c r="AP1343" s="34">
        <f>H1343*(1-1)</f>
        <v>0</v>
      </c>
      <c r="AQ1343" s="65" t="s">
        <v>129</v>
      </c>
      <c r="AV1343" s="34">
        <f t="shared" si="168"/>
        <v>0</v>
      </c>
      <c r="AW1343" s="34">
        <f t="shared" si="169"/>
        <v>0</v>
      </c>
      <c r="AX1343" s="34">
        <f t="shared" si="170"/>
        <v>0</v>
      </c>
      <c r="AY1343" s="65" t="s">
        <v>1843</v>
      </c>
      <c r="AZ1343" s="65" t="s">
        <v>2257</v>
      </c>
      <c r="BA1343" s="46" t="s">
        <v>2258</v>
      </c>
      <c r="BC1343" s="34">
        <f t="shared" si="171"/>
        <v>0</v>
      </c>
      <c r="BD1343" s="34">
        <f t="shared" si="172"/>
        <v>0</v>
      </c>
      <c r="BE1343" s="34">
        <v>0</v>
      </c>
      <c r="BF1343" s="34">
        <f>1343</f>
        <v>1343</v>
      </c>
      <c r="BH1343" s="34">
        <f t="shared" si="173"/>
        <v>0</v>
      </c>
      <c r="BI1343" s="34">
        <f t="shared" si="174"/>
        <v>0</v>
      </c>
      <c r="BJ1343" s="34">
        <f t="shared" si="175"/>
        <v>0</v>
      </c>
      <c r="BK1343" s="34"/>
      <c r="BL1343" s="34"/>
      <c r="BW1343" s="34">
        <v>21</v>
      </c>
      <c r="BX1343" s="3" t="s">
        <v>2541</v>
      </c>
    </row>
    <row r="1344" spans="1:76" x14ac:dyDescent="0.25">
      <c r="A1344" s="66"/>
      <c r="D1344" s="67" t="s">
        <v>129</v>
      </c>
      <c r="E1344" s="67" t="s">
        <v>4</v>
      </c>
      <c r="G1344" s="68">
        <v>1</v>
      </c>
      <c r="K1344" s="59"/>
    </row>
    <row r="1345" spans="1:76" x14ac:dyDescent="0.25">
      <c r="A1345" s="60" t="s">
        <v>4</v>
      </c>
      <c r="B1345" s="61" t="s">
        <v>91</v>
      </c>
      <c r="C1345" s="61" t="s">
        <v>1939</v>
      </c>
      <c r="D1345" s="167" t="s">
        <v>57</v>
      </c>
      <c r="E1345" s="168"/>
      <c r="F1345" s="62" t="s">
        <v>79</v>
      </c>
      <c r="G1345" s="62" t="s">
        <v>79</v>
      </c>
      <c r="H1345" s="63" t="s">
        <v>79</v>
      </c>
      <c r="I1345" s="39">
        <f>I1346</f>
        <v>0</v>
      </c>
      <c r="J1345" s="46" t="s">
        <v>4</v>
      </c>
      <c r="K1345" s="59"/>
      <c r="AI1345" s="46" t="s">
        <v>91</v>
      </c>
    </row>
    <row r="1346" spans="1:76" x14ac:dyDescent="0.25">
      <c r="A1346" s="60" t="s">
        <v>4</v>
      </c>
      <c r="B1346" s="61" t="s">
        <v>91</v>
      </c>
      <c r="C1346" s="61" t="s">
        <v>1952</v>
      </c>
      <c r="D1346" s="167" t="s">
        <v>73</v>
      </c>
      <c r="E1346" s="168"/>
      <c r="F1346" s="62" t="s">
        <v>79</v>
      </c>
      <c r="G1346" s="62" t="s">
        <v>79</v>
      </c>
      <c r="H1346" s="63" t="s">
        <v>79</v>
      </c>
      <c r="I1346" s="39">
        <f>SUM(I1347:I1350)</f>
        <v>0</v>
      </c>
      <c r="J1346" s="46" t="s">
        <v>4</v>
      </c>
      <c r="K1346" s="59"/>
      <c r="AI1346" s="46" t="s">
        <v>91</v>
      </c>
      <c r="AS1346" s="39">
        <f>SUM(AJ1347:AJ1350)</f>
        <v>0</v>
      </c>
      <c r="AT1346" s="39">
        <f>SUM(AK1347:AK1350)</f>
        <v>0</v>
      </c>
      <c r="AU1346" s="39">
        <f>SUM(AL1347:AL1350)</f>
        <v>0</v>
      </c>
    </row>
    <row r="1347" spans="1:76" x14ac:dyDescent="0.25">
      <c r="A1347" s="1" t="s">
        <v>2542</v>
      </c>
      <c r="B1347" s="2" t="s">
        <v>91</v>
      </c>
      <c r="C1347" s="2" t="s">
        <v>2543</v>
      </c>
      <c r="D1347" s="86" t="s">
        <v>2544</v>
      </c>
      <c r="E1347" s="81"/>
      <c r="F1347" s="2" t="s">
        <v>1190</v>
      </c>
      <c r="G1347" s="34">
        <v>1</v>
      </c>
      <c r="H1347" s="64">
        <v>0</v>
      </c>
      <c r="I1347" s="34">
        <f>ROUND(G1347*H1347,2)</f>
        <v>0</v>
      </c>
      <c r="J1347" s="65" t="s">
        <v>133</v>
      </c>
      <c r="K1347" s="59"/>
      <c r="Z1347" s="34">
        <f>ROUND(IF(AQ1347="5",BJ1347,0),2)</f>
        <v>0</v>
      </c>
      <c r="AB1347" s="34">
        <f>ROUND(IF(AQ1347="1",BH1347,0),2)</f>
        <v>0</v>
      </c>
      <c r="AC1347" s="34">
        <f>ROUND(IF(AQ1347="1",BI1347,0),2)</f>
        <v>0</v>
      </c>
      <c r="AD1347" s="34">
        <f>ROUND(IF(AQ1347="7",BH1347,0),2)</f>
        <v>0</v>
      </c>
      <c r="AE1347" s="34">
        <f>ROUND(IF(AQ1347="7",BI1347,0),2)</f>
        <v>0</v>
      </c>
      <c r="AF1347" s="34">
        <f>ROUND(IF(AQ1347="2",BH1347,0),2)</f>
        <v>0</v>
      </c>
      <c r="AG1347" s="34">
        <f>ROUND(IF(AQ1347="2",BI1347,0),2)</f>
        <v>0</v>
      </c>
      <c r="AH1347" s="34">
        <f>ROUND(IF(AQ1347="0",BJ1347,0),2)</f>
        <v>0</v>
      </c>
      <c r="AI1347" s="46" t="s">
        <v>91</v>
      </c>
      <c r="AJ1347" s="34">
        <f>IF(AN1347=0,I1347,0)</f>
        <v>0</v>
      </c>
      <c r="AK1347" s="34">
        <f>IF(AN1347=12,I1347,0)</f>
        <v>0</v>
      </c>
      <c r="AL1347" s="34">
        <f>IF(AN1347=21,I1347,0)</f>
        <v>0</v>
      </c>
      <c r="AN1347" s="34">
        <v>21</v>
      </c>
      <c r="AO1347" s="34">
        <f>H1347*0</f>
        <v>0</v>
      </c>
      <c r="AP1347" s="34">
        <f>H1347*(1-0)</f>
        <v>0</v>
      </c>
      <c r="AQ1347" s="65" t="s">
        <v>837</v>
      </c>
      <c r="AV1347" s="34">
        <f>ROUND(AW1347+AX1347,2)</f>
        <v>0</v>
      </c>
      <c r="AW1347" s="34">
        <f>ROUND(G1347*AO1347,2)</f>
        <v>0</v>
      </c>
      <c r="AX1347" s="34">
        <f>ROUND(G1347*AP1347,2)</f>
        <v>0</v>
      </c>
      <c r="AY1347" s="65" t="s">
        <v>1956</v>
      </c>
      <c r="AZ1347" s="65" t="s">
        <v>2545</v>
      </c>
      <c r="BA1347" s="46" t="s">
        <v>2258</v>
      </c>
      <c r="BC1347" s="34">
        <f>AW1347+AX1347</f>
        <v>0</v>
      </c>
      <c r="BD1347" s="34">
        <f>H1347/(100-BE1347)*100</f>
        <v>0</v>
      </c>
      <c r="BE1347" s="34">
        <v>0</v>
      </c>
      <c r="BF1347" s="34">
        <f>1347</f>
        <v>1347</v>
      </c>
      <c r="BH1347" s="34">
        <f>G1347*AO1347</f>
        <v>0</v>
      </c>
      <c r="BI1347" s="34">
        <f>G1347*AP1347</f>
        <v>0</v>
      </c>
      <c r="BJ1347" s="34">
        <f>G1347*H1347</f>
        <v>0</v>
      </c>
      <c r="BK1347" s="34"/>
      <c r="BL1347" s="34"/>
      <c r="BU1347" s="34">
        <f>G1347*H1347</f>
        <v>0</v>
      </c>
      <c r="BW1347" s="34">
        <v>21</v>
      </c>
      <c r="BX1347" s="3" t="s">
        <v>2544</v>
      </c>
    </row>
    <row r="1348" spans="1:76" x14ac:dyDescent="0.25">
      <c r="A1348" s="1" t="s">
        <v>2546</v>
      </c>
      <c r="B1348" s="2" t="s">
        <v>91</v>
      </c>
      <c r="C1348" s="2" t="s">
        <v>2547</v>
      </c>
      <c r="D1348" s="86" t="s">
        <v>2548</v>
      </c>
      <c r="E1348" s="81"/>
      <c r="F1348" s="2" t="s">
        <v>1190</v>
      </c>
      <c r="G1348" s="34">
        <v>1</v>
      </c>
      <c r="H1348" s="64">
        <v>0</v>
      </c>
      <c r="I1348" s="34">
        <f>ROUND(G1348*H1348,2)</f>
        <v>0</v>
      </c>
      <c r="J1348" s="65" t="s">
        <v>133</v>
      </c>
      <c r="K1348" s="59"/>
      <c r="Z1348" s="34">
        <f>ROUND(IF(AQ1348="5",BJ1348,0),2)</f>
        <v>0</v>
      </c>
      <c r="AB1348" s="34">
        <f>ROUND(IF(AQ1348="1",BH1348,0),2)</f>
        <v>0</v>
      </c>
      <c r="AC1348" s="34">
        <f>ROUND(IF(AQ1348="1",BI1348,0),2)</f>
        <v>0</v>
      </c>
      <c r="AD1348" s="34">
        <f>ROUND(IF(AQ1348="7",BH1348,0),2)</f>
        <v>0</v>
      </c>
      <c r="AE1348" s="34">
        <f>ROUND(IF(AQ1348="7",BI1348,0),2)</f>
        <v>0</v>
      </c>
      <c r="AF1348" s="34">
        <f>ROUND(IF(AQ1348="2",BH1348,0),2)</f>
        <v>0</v>
      </c>
      <c r="AG1348" s="34">
        <f>ROUND(IF(AQ1348="2",BI1348,0),2)</f>
        <v>0</v>
      </c>
      <c r="AH1348" s="34">
        <f>ROUND(IF(AQ1348="0",BJ1348,0),2)</f>
        <v>0</v>
      </c>
      <c r="AI1348" s="46" t="s">
        <v>91</v>
      </c>
      <c r="AJ1348" s="34">
        <f>IF(AN1348=0,I1348,0)</f>
        <v>0</v>
      </c>
      <c r="AK1348" s="34">
        <f>IF(AN1348=12,I1348,0)</f>
        <v>0</v>
      </c>
      <c r="AL1348" s="34">
        <f>IF(AN1348=21,I1348,0)</f>
        <v>0</v>
      </c>
      <c r="AN1348" s="34">
        <v>21</v>
      </c>
      <c r="AO1348" s="34">
        <f>H1348*0</f>
        <v>0</v>
      </c>
      <c r="AP1348" s="34">
        <f>H1348*(1-0)</f>
        <v>0</v>
      </c>
      <c r="AQ1348" s="65" t="s">
        <v>837</v>
      </c>
      <c r="AV1348" s="34">
        <f>ROUND(AW1348+AX1348,2)</f>
        <v>0</v>
      </c>
      <c r="AW1348" s="34">
        <f>ROUND(G1348*AO1348,2)</f>
        <v>0</v>
      </c>
      <c r="AX1348" s="34">
        <f>ROUND(G1348*AP1348,2)</f>
        <v>0</v>
      </c>
      <c r="AY1348" s="65" t="s">
        <v>1956</v>
      </c>
      <c r="AZ1348" s="65" t="s">
        <v>2545</v>
      </c>
      <c r="BA1348" s="46" t="s">
        <v>2258</v>
      </c>
      <c r="BC1348" s="34">
        <f>AW1348+AX1348</f>
        <v>0</v>
      </c>
      <c r="BD1348" s="34">
        <f>H1348/(100-BE1348)*100</f>
        <v>0</v>
      </c>
      <c r="BE1348" s="34">
        <v>0</v>
      </c>
      <c r="BF1348" s="34">
        <f>1348</f>
        <v>1348</v>
      </c>
      <c r="BH1348" s="34">
        <f>G1348*AO1348</f>
        <v>0</v>
      </c>
      <c r="BI1348" s="34">
        <f>G1348*AP1348</f>
        <v>0</v>
      </c>
      <c r="BJ1348" s="34">
        <f>G1348*H1348</f>
        <v>0</v>
      </c>
      <c r="BK1348" s="34"/>
      <c r="BL1348" s="34"/>
      <c r="BU1348" s="34">
        <f>G1348*H1348</f>
        <v>0</v>
      </c>
      <c r="BW1348" s="34">
        <v>21</v>
      </c>
      <c r="BX1348" s="3" t="s">
        <v>2548</v>
      </c>
    </row>
    <row r="1349" spans="1:76" x14ac:dyDescent="0.25">
      <c r="A1349" s="1" t="s">
        <v>2549</v>
      </c>
      <c r="B1349" s="2" t="s">
        <v>91</v>
      </c>
      <c r="C1349" s="2" t="s">
        <v>2550</v>
      </c>
      <c r="D1349" s="86" t="s">
        <v>2551</v>
      </c>
      <c r="E1349" s="81"/>
      <c r="F1349" s="2" t="s">
        <v>1190</v>
      </c>
      <c r="G1349" s="34">
        <v>1</v>
      </c>
      <c r="H1349" s="64">
        <v>0</v>
      </c>
      <c r="I1349" s="34">
        <f>ROUND(G1349*H1349,2)</f>
        <v>0</v>
      </c>
      <c r="J1349" s="65" t="s">
        <v>133</v>
      </c>
      <c r="K1349" s="59"/>
      <c r="Z1349" s="34">
        <f>ROUND(IF(AQ1349="5",BJ1349,0),2)</f>
        <v>0</v>
      </c>
      <c r="AB1349" s="34">
        <f>ROUND(IF(AQ1349="1",BH1349,0),2)</f>
        <v>0</v>
      </c>
      <c r="AC1349" s="34">
        <f>ROUND(IF(AQ1349="1",BI1349,0),2)</f>
        <v>0</v>
      </c>
      <c r="AD1349" s="34">
        <f>ROUND(IF(AQ1349="7",BH1349,0),2)</f>
        <v>0</v>
      </c>
      <c r="AE1349" s="34">
        <f>ROUND(IF(AQ1349="7",BI1349,0),2)</f>
        <v>0</v>
      </c>
      <c r="AF1349" s="34">
        <f>ROUND(IF(AQ1349="2",BH1349,0),2)</f>
        <v>0</v>
      </c>
      <c r="AG1349" s="34">
        <f>ROUND(IF(AQ1349="2",BI1349,0),2)</f>
        <v>0</v>
      </c>
      <c r="AH1349" s="34">
        <f>ROUND(IF(AQ1349="0",BJ1349,0),2)</f>
        <v>0</v>
      </c>
      <c r="AI1349" s="46" t="s">
        <v>91</v>
      </c>
      <c r="AJ1349" s="34">
        <f>IF(AN1349=0,I1349,0)</f>
        <v>0</v>
      </c>
      <c r="AK1349" s="34">
        <f>IF(AN1349=12,I1349,0)</f>
        <v>0</v>
      </c>
      <c r="AL1349" s="34">
        <f>IF(AN1349=21,I1349,0)</f>
        <v>0</v>
      </c>
      <c r="AN1349" s="34">
        <v>21</v>
      </c>
      <c r="AO1349" s="34">
        <f>H1349*0</f>
        <v>0</v>
      </c>
      <c r="AP1349" s="34">
        <f>H1349*(1-0)</f>
        <v>0</v>
      </c>
      <c r="AQ1349" s="65" t="s">
        <v>837</v>
      </c>
      <c r="AV1349" s="34">
        <f>ROUND(AW1349+AX1349,2)</f>
        <v>0</v>
      </c>
      <c r="AW1349" s="34">
        <f>ROUND(G1349*AO1349,2)</f>
        <v>0</v>
      </c>
      <c r="AX1349" s="34">
        <f>ROUND(G1349*AP1349,2)</f>
        <v>0</v>
      </c>
      <c r="AY1349" s="65" t="s">
        <v>1956</v>
      </c>
      <c r="AZ1349" s="65" t="s">
        <v>2545</v>
      </c>
      <c r="BA1349" s="46" t="s">
        <v>2258</v>
      </c>
      <c r="BC1349" s="34">
        <f>AW1349+AX1349</f>
        <v>0</v>
      </c>
      <c r="BD1349" s="34">
        <f>H1349/(100-BE1349)*100</f>
        <v>0</v>
      </c>
      <c r="BE1349" s="34">
        <v>0</v>
      </c>
      <c r="BF1349" s="34">
        <f>1349</f>
        <v>1349</v>
      </c>
      <c r="BH1349" s="34">
        <f>G1349*AO1349</f>
        <v>0</v>
      </c>
      <c r="BI1349" s="34">
        <f>G1349*AP1349</f>
        <v>0</v>
      </c>
      <c r="BJ1349" s="34">
        <f>G1349*H1349</f>
        <v>0</v>
      </c>
      <c r="BK1349" s="34"/>
      <c r="BL1349" s="34"/>
      <c r="BU1349" s="34">
        <f>G1349*H1349</f>
        <v>0</v>
      </c>
      <c r="BW1349" s="34">
        <v>21</v>
      </c>
      <c r="BX1349" s="3" t="s">
        <v>2551</v>
      </c>
    </row>
    <row r="1350" spans="1:76" x14ac:dyDescent="0.25">
      <c r="A1350" s="1" t="s">
        <v>2316</v>
      </c>
      <c r="B1350" s="2" t="s">
        <v>91</v>
      </c>
      <c r="C1350" s="2" t="s">
        <v>2552</v>
      </c>
      <c r="D1350" s="86" t="s">
        <v>2553</v>
      </c>
      <c r="E1350" s="81"/>
      <c r="F1350" s="2" t="s">
        <v>1190</v>
      </c>
      <c r="G1350" s="34">
        <v>1</v>
      </c>
      <c r="H1350" s="64">
        <v>0</v>
      </c>
      <c r="I1350" s="34">
        <f>ROUND(G1350*H1350,2)</f>
        <v>0</v>
      </c>
      <c r="J1350" s="65" t="s">
        <v>133</v>
      </c>
      <c r="K1350" s="59"/>
      <c r="Z1350" s="34">
        <f>ROUND(IF(AQ1350="5",BJ1350,0),2)</f>
        <v>0</v>
      </c>
      <c r="AB1350" s="34">
        <f>ROUND(IF(AQ1350="1",BH1350,0),2)</f>
        <v>0</v>
      </c>
      <c r="AC1350" s="34">
        <f>ROUND(IF(AQ1350="1",BI1350,0),2)</f>
        <v>0</v>
      </c>
      <c r="AD1350" s="34">
        <f>ROUND(IF(AQ1350="7",BH1350,0),2)</f>
        <v>0</v>
      </c>
      <c r="AE1350" s="34">
        <f>ROUND(IF(AQ1350="7",BI1350,0),2)</f>
        <v>0</v>
      </c>
      <c r="AF1350" s="34">
        <f>ROUND(IF(AQ1350="2",BH1350,0),2)</f>
        <v>0</v>
      </c>
      <c r="AG1350" s="34">
        <f>ROUND(IF(AQ1350="2",BI1350,0),2)</f>
        <v>0</v>
      </c>
      <c r="AH1350" s="34">
        <f>ROUND(IF(AQ1350="0",BJ1350,0),2)</f>
        <v>0</v>
      </c>
      <c r="AI1350" s="46" t="s">
        <v>91</v>
      </c>
      <c r="AJ1350" s="34">
        <f>IF(AN1350=0,I1350,0)</f>
        <v>0</v>
      </c>
      <c r="AK1350" s="34">
        <f>IF(AN1350=12,I1350,0)</f>
        <v>0</v>
      </c>
      <c r="AL1350" s="34">
        <f>IF(AN1350=21,I1350,0)</f>
        <v>0</v>
      </c>
      <c r="AN1350" s="34">
        <v>21</v>
      </c>
      <c r="AO1350" s="34">
        <f>H1350*0</f>
        <v>0</v>
      </c>
      <c r="AP1350" s="34">
        <f>H1350*(1-0)</f>
        <v>0</v>
      </c>
      <c r="AQ1350" s="65" t="s">
        <v>837</v>
      </c>
      <c r="AV1350" s="34">
        <f>ROUND(AW1350+AX1350,2)</f>
        <v>0</v>
      </c>
      <c r="AW1350" s="34">
        <f>ROUND(G1350*AO1350,2)</f>
        <v>0</v>
      </c>
      <c r="AX1350" s="34">
        <f>ROUND(G1350*AP1350,2)</f>
        <v>0</v>
      </c>
      <c r="AY1350" s="65" t="s">
        <v>1956</v>
      </c>
      <c r="AZ1350" s="65" t="s">
        <v>2545</v>
      </c>
      <c r="BA1350" s="46" t="s">
        <v>2258</v>
      </c>
      <c r="BC1350" s="34">
        <f>AW1350+AX1350</f>
        <v>0</v>
      </c>
      <c r="BD1350" s="34">
        <f>H1350/(100-BE1350)*100</f>
        <v>0</v>
      </c>
      <c r="BE1350" s="34">
        <v>0</v>
      </c>
      <c r="BF1350" s="34">
        <f>1350</f>
        <v>1350</v>
      </c>
      <c r="BH1350" s="34">
        <f>G1350*AO1350</f>
        <v>0</v>
      </c>
      <c r="BI1350" s="34">
        <f>G1350*AP1350</f>
        <v>0</v>
      </c>
      <c r="BJ1350" s="34">
        <f>G1350*H1350</f>
        <v>0</v>
      </c>
      <c r="BK1350" s="34"/>
      <c r="BL1350" s="34"/>
      <c r="BU1350" s="34">
        <f>G1350*H1350</f>
        <v>0</v>
      </c>
      <c r="BW1350" s="34">
        <v>21</v>
      </c>
      <c r="BX1350" s="3" t="s">
        <v>2553</v>
      </c>
    </row>
    <row r="1351" spans="1:76" ht="40.5" customHeight="1" x14ac:dyDescent="0.25">
      <c r="A1351" s="66"/>
      <c r="C1351" s="69" t="s">
        <v>204</v>
      </c>
      <c r="D1351" s="169" t="s">
        <v>2554</v>
      </c>
      <c r="E1351" s="170"/>
      <c r="F1351" s="170"/>
      <c r="G1351" s="170"/>
      <c r="H1351" s="171"/>
      <c r="I1351" s="170"/>
      <c r="J1351" s="170"/>
      <c r="K1351" s="172"/>
    </row>
    <row r="1352" spans="1:76" x14ac:dyDescent="0.25">
      <c r="A1352" s="66"/>
      <c r="D1352" s="67" t="s">
        <v>129</v>
      </c>
      <c r="E1352" s="67" t="s">
        <v>4</v>
      </c>
      <c r="G1352" s="68">
        <v>1</v>
      </c>
      <c r="K1352" s="59"/>
    </row>
    <row r="1353" spans="1:76" x14ac:dyDescent="0.25">
      <c r="A1353" s="60" t="s">
        <v>4</v>
      </c>
      <c r="B1353" s="61" t="s">
        <v>93</v>
      </c>
      <c r="C1353" s="61" t="s">
        <v>4</v>
      </c>
      <c r="D1353" s="167" t="s">
        <v>94</v>
      </c>
      <c r="E1353" s="168"/>
      <c r="F1353" s="62" t="s">
        <v>79</v>
      </c>
      <c r="G1353" s="62" t="s">
        <v>79</v>
      </c>
      <c r="H1353" s="63" t="s">
        <v>79</v>
      </c>
      <c r="I1353" s="39">
        <f>I1354+I1362+I1371+I1383+I1386+I1392+I1447+I1515+I1570+I1588+I1592+I1604+I1606+I1608+I1610+I1613+I1616+I1623+I1626</f>
        <v>0</v>
      </c>
      <c r="J1353" s="46" t="s">
        <v>4</v>
      </c>
      <c r="K1353" s="59"/>
    </row>
    <row r="1354" spans="1:76" x14ac:dyDescent="0.25">
      <c r="A1354" s="60" t="s">
        <v>4</v>
      </c>
      <c r="B1354" s="61" t="s">
        <v>93</v>
      </c>
      <c r="C1354" s="61" t="s">
        <v>146</v>
      </c>
      <c r="D1354" s="167" t="s">
        <v>147</v>
      </c>
      <c r="E1354" s="168"/>
      <c r="F1354" s="62" t="s">
        <v>79</v>
      </c>
      <c r="G1354" s="62" t="s">
        <v>79</v>
      </c>
      <c r="H1354" s="63" t="s">
        <v>79</v>
      </c>
      <c r="I1354" s="39">
        <f>SUM(I1355:I1360)</f>
        <v>0</v>
      </c>
      <c r="J1354" s="46" t="s">
        <v>4</v>
      </c>
      <c r="K1354" s="59"/>
      <c r="AI1354" s="46" t="s">
        <v>93</v>
      </c>
      <c r="AS1354" s="39">
        <f>SUM(AJ1355:AJ1360)</f>
        <v>0</v>
      </c>
      <c r="AT1354" s="39">
        <f>SUM(AK1355:AK1360)</f>
        <v>0</v>
      </c>
      <c r="AU1354" s="39">
        <f>SUM(AL1355:AL1360)</f>
        <v>0</v>
      </c>
    </row>
    <row r="1355" spans="1:76" x14ac:dyDescent="0.25">
      <c r="A1355" s="1" t="s">
        <v>2555</v>
      </c>
      <c r="B1355" s="2" t="s">
        <v>93</v>
      </c>
      <c r="C1355" s="2" t="s">
        <v>149</v>
      </c>
      <c r="D1355" s="86" t="s">
        <v>150</v>
      </c>
      <c r="E1355" s="81"/>
      <c r="F1355" s="2" t="s">
        <v>143</v>
      </c>
      <c r="G1355" s="34">
        <v>41.44</v>
      </c>
      <c r="H1355" s="64">
        <v>0</v>
      </c>
      <c r="I1355" s="34">
        <f>ROUND(G1355*H1355,2)</f>
        <v>0</v>
      </c>
      <c r="J1355" s="65" t="s">
        <v>133</v>
      </c>
      <c r="K1355" s="59"/>
      <c r="Z1355" s="34">
        <f>ROUND(IF(AQ1355="5",BJ1355,0),2)</f>
        <v>0</v>
      </c>
      <c r="AB1355" s="34">
        <f>ROUND(IF(AQ1355="1",BH1355,0),2)</f>
        <v>0</v>
      </c>
      <c r="AC1355" s="34">
        <f>ROUND(IF(AQ1355="1",BI1355,0),2)</f>
        <v>0</v>
      </c>
      <c r="AD1355" s="34">
        <f>ROUND(IF(AQ1355="7",BH1355,0),2)</f>
        <v>0</v>
      </c>
      <c r="AE1355" s="34">
        <f>ROUND(IF(AQ1355="7",BI1355,0),2)</f>
        <v>0</v>
      </c>
      <c r="AF1355" s="34">
        <f>ROUND(IF(AQ1355="2",BH1355,0),2)</f>
        <v>0</v>
      </c>
      <c r="AG1355" s="34">
        <f>ROUND(IF(AQ1355="2",BI1355,0),2)</f>
        <v>0</v>
      </c>
      <c r="AH1355" s="34">
        <f>ROUND(IF(AQ1355="0",BJ1355,0),2)</f>
        <v>0</v>
      </c>
      <c r="AI1355" s="46" t="s">
        <v>93</v>
      </c>
      <c r="AJ1355" s="34">
        <f>IF(AN1355=0,I1355,0)</f>
        <v>0</v>
      </c>
      <c r="AK1355" s="34">
        <f>IF(AN1355=12,I1355,0)</f>
        <v>0</v>
      </c>
      <c r="AL1355" s="34">
        <f>IF(AN1355=21,I1355,0)</f>
        <v>0</v>
      </c>
      <c r="AN1355" s="34">
        <v>21</v>
      </c>
      <c r="AO1355" s="34">
        <f>H1355*0</f>
        <v>0</v>
      </c>
      <c r="AP1355" s="34">
        <f>H1355*(1-0)</f>
        <v>0</v>
      </c>
      <c r="AQ1355" s="65" t="s">
        <v>129</v>
      </c>
      <c r="AV1355" s="34">
        <f>ROUND(AW1355+AX1355,2)</f>
        <v>0</v>
      </c>
      <c r="AW1355" s="34">
        <f>ROUND(G1355*AO1355,2)</f>
        <v>0</v>
      </c>
      <c r="AX1355" s="34">
        <f>ROUND(G1355*AP1355,2)</f>
        <v>0</v>
      </c>
      <c r="AY1355" s="65" t="s">
        <v>151</v>
      </c>
      <c r="AZ1355" s="65" t="s">
        <v>2556</v>
      </c>
      <c r="BA1355" s="46" t="s">
        <v>2557</v>
      </c>
      <c r="BC1355" s="34">
        <f>AW1355+AX1355</f>
        <v>0</v>
      </c>
      <c r="BD1355" s="34">
        <f>H1355/(100-BE1355)*100</f>
        <v>0</v>
      </c>
      <c r="BE1355" s="34">
        <v>0</v>
      </c>
      <c r="BF1355" s="34">
        <f>1355</f>
        <v>1355</v>
      </c>
      <c r="BH1355" s="34">
        <f>G1355*AO1355</f>
        <v>0</v>
      </c>
      <c r="BI1355" s="34">
        <f>G1355*AP1355</f>
        <v>0</v>
      </c>
      <c r="BJ1355" s="34">
        <f>G1355*H1355</f>
        <v>0</v>
      </c>
      <c r="BK1355" s="34"/>
      <c r="BL1355" s="34">
        <v>13</v>
      </c>
      <c r="BW1355" s="34">
        <v>21</v>
      </c>
      <c r="BX1355" s="3" t="s">
        <v>150</v>
      </c>
    </row>
    <row r="1356" spans="1:76" x14ac:dyDescent="0.25">
      <c r="A1356" s="66"/>
      <c r="D1356" s="67" t="s">
        <v>138</v>
      </c>
      <c r="E1356" s="67" t="s">
        <v>2558</v>
      </c>
      <c r="G1356" s="68">
        <v>12</v>
      </c>
      <c r="K1356" s="59"/>
    </row>
    <row r="1357" spans="1:76" x14ac:dyDescent="0.25">
      <c r="A1357" s="66"/>
      <c r="D1357" s="67" t="s">
        <v>2559</v>
      </c>
      <c r="E1357" s="67" t="s">
        <v>2560</v>
      </c>
      <c r="G1357" s="68">
        <v>29.44</v>
      </c>
      <c r="K1357" s="59"/>
    </row>
    <row r="1358" spans="1:76" x14ac:dyDescent="0.25">
      <c r="A1358" s="1" t="s">
        <v>2561</v>
      </c>
      <c r="B1358" s="2" t="s">
        <v>93</v>
      </c>
      <c r="C1358" s="2" t="s">
        <v>2562</v>
      </c>
      <c r="D1358" s="86" t="s">
        <v>2563</v>
      </c>
      <c r="E1358" s="81"/>
      <c r="F1358" s="2" t="s">
        <v>143</v>
      </c>
      <c r="G1358" s="34">
        <v>14.08</v>
      </c>
      <c r="H1358" s="64">
        <v>0</v>
      </c>
      <c r="I1358" s="34">
        <f>ROUND(G1358*H1358,2)</f>
        <v>0</v>
      </c>
      <c r="J1358" s="65" t="s">
        <v>133</v>
      </c>
      <c r="K1358" s="59"/>
      <c r="Z1358" s="34">
        <f>ROUND(IF(AQ1358="5",BJ1358,0),2)</f>
        <v>0</v>
      </c>
      <c r="AB1358" s="34">
        <f>ROUND(IF(AQ1358="1",BH1358,0),2)</f>
        <v>0</v>
      </c>
      <c r="AC1358" s="34">
        <f>ROUND(IF(AQ1358="1",BI1358,0),2)</f>
        <v>0</v>
      </c>
      <c r="AD1358" s="34">
        <f>ROUND(IF(AQ1358="7",BH1358,0),2)</f>
        <v>0</v>
      </c>
      <c r="AE1358" s="34">
        <f>ROUND(IF(AQ1358="7",BI1358,0),2)</f>
        <v>0</v>
      </c>
      <c r="AF1358" s="34">
        <f>ROUND(IF(AQ1358="2",BH1358,0),2)</f>
        <v>0</v>
      </c>
      <c r="AG1358" s="34">
        <f>ROUND(IF(AQ1358="2",BI1358,0),2)</f>
        <v>0</v>
      </c>
      <c r="AH1358" s="34">
        <f>ROUND(IF(AQ1358="0",BJ1358,0),2)</f>
        <v>0</v>
      </c>
      <c r="AI1358" s="46" t="s">
        <v>93</v>
      </c>
      <c r="AJ1358" s="34">
        <f>IF(AN1358=0,I1358,0)</f>
        <v>0</v>
      </c>
      <c r="AK1358" s="34">
        <f>IF(AN1358=12,I1358,0)</f>
        <v>0</v>
      </c>
      <c r="AL1358" s="34">
        <f>IF(AN1358=21,I1358,0)</f>
        <v>0</v>
      </c>
      <c r="AN1358" s="34">
        <v>21</v>
      </c>
      <c r="AO1358" s="34">
        <f>H1358*0</f>
        <v>0</v>
      </c>
      <c r="AP1358" s="34">
        <f>H1358*(1-0)</f>
        <v>0</v>
      </c>
      <c r="AQ1358" s="65" t="s">
        <v>129</v>
      </c>
      <c r="AV1358" s="34">
        <f>ROUND(AW1358+AX1358,2)</f>
        <v>0</v>
      </c>
      <c r="AW1358" s="34">
        <f>ROUND(G1358*AO1358,2)</f>
        <v>0</v>
      </c>
      <c r="AX1358" s="34">
        <f>ROUND(G1358*AP1358,2)</f>
        <v>0</v>
      </c>
      <c r="AY1358" s="65" t="s">
        <v>151</v>
      </c>
      <c r="AZ1358" s="65" t="s">
        <v>2556</v>
      </c>
      <c r="BA1358" s="46" t="s">
        <v>2557</v>
      </c>
      <c r="BC1358" s="34">
        <f>AW1358+AX1358</f>
        <v>0</v>
      </c>
      <c r="BD1358" s="34">
        <f>H1358/(100-BE1358)*100</f>
        <v>0</v>
      </c>
      <c r="BE1358" s="34">
        <v>0</v>
      </c>
      <c r="BF1358" s="34">
        <f>1358</f>
        <v>1358</v>
      </c>
      <c r="BH1358" s="34">
        <f>G1358*AO1358</f>
        <v>0</v>
      </c>
      <c r="BI1358" s="34">
        <f>G1358*AP1358</f>
        <v>0</v>
      </c>
      <c r="BJ1358" s="34">
        <f>G1358*H1358</f>
        <v>0</v>
      </c>
      <c r="BK1358" s="34"/>
      <c r="BL1358" s="34">
        <v>13</v>
      </c>
      <c r="BW1358" s="34">
        <v>21</v>
      </c>
      <c r="BX1358" s="3" t="s">
        <v>2563</v>
      </c>
    </row>
    <row r="1359" spans="1:76" x14ac:dyDescent="0.25">
      <c r="A1359" s="66"/>
      <c r="D1359" s="67" t="s">
        <v>2564</v>
      </c>
      <c r="E1359" s="67" t="s">
        <v>4</v>
      </c>
      <c r="G1359" s="68">
        <v>14.08</v>
      </c>
      <c r="K1359" s="59"/>
    </row>
    <row r="1360" spans="1:76" x14ac:dyDescent="0.25">
      <c r="A1360" s="1" t="s">
        <v>2565</v>
      </c>
      <c r="B1360" s="2" t="s">
        <v>93</v>
      </c>
      <c r="C1360" s="2" t="s">
        <v>2566</v>
      </c>
      <c r="D1360" s="86" t="s">
        <v>2567</v>
      </c>
      <c r="E1360" s="81"/>
      <c r="F1360" s="2" t="s">
        <v>143</v>
      </c>
      <c r="G1360" s="34">
        <v>14.08</v>
      </c>
      <c r="H1360" s="64">
        <v>0</v>
      </c>
      <c r="I1360" s="34">
        <f>ROUND(G1360*H1360,2)</f>
        <v>0</v>
      </c>
      <c r="J1360" s="65" t="s">
        <v>133</v>
      </c>
      <c r="K1360" s="59"/>
      <c r="Z1360" s="34">
        <f>ROUND(IF(AQ1360="5",BJ1360,0),2)</f>
        <v>0</v>
      </c>
      <c r="AB1360" s="34">
        <f>ROUND(IF(AQ1360="1",BH1360,0),2)</f>
        <v>0</v>
      </c>
      <c r="AC1360" s="34">
        <f>ROUND(IF(AQ1360="1",BI1360,0),2)</f>
        <v>0</v>
      </c>
      <c r="AD1360" s="34">
        <f>ROUND(IF(AQ1360="7",BH1360,0),2)</f>
        <v>0</v>
      </c>
      <c r="AE1360" s="34">
        <f>ROUND(IF(AQ1360="7",BI1360,0),2)</f>
        <v>0</v>
      </c>
      <c r="AF1360" s="34">
        <f>ROUND(IF(AQ1360="2",BH1360,0),2)</f>
        <v>0</v>
      </c>
      <c r="AG1360" s="34">
        <f>ROUND(IF(AQ1360="2",BI1360,0),2)</f>
        <v>0</v>
      </c>
      <c r="AH1360" s="34">
        <f>ROUND(IF(AQ1360="0",BJ1360,0),2)</f>
        <v>0</v>
      </c>
      <c r="AI1360" s="46" t="s">
        <v>93</v>
      </c>
      <c r="AJ1360" s="34">
        <f>IF(AN1360=0,I1360,0)</f>
        <v>0</v>
      </c>
      <c r="AK1360" s="34">
        <f>IF(AN1360=12,I1360,0)</f>
        <v>0</v>
      </c>
      <c r="AL1360" s="34">
        <f>IF(AN1360=21,I1360,0)</f>
        <v>0</v>
      </c>
      <c r="AN1360" s="34">
        <v>21</v>
      </c>
      <c r="AO1360" s="34">
        <f>H1360*0</f>
        <v>0</v>
      </c>
      <c r="AP1360" s="34">
        <f>H1360*(1-0)</f>
        <v>0</v>
      </c>
      <c r="AQ1360" s="65" t="s">
        <v>129</v>
      </c>
      <c r="AV1360" s="34">
        <f>ROUND(AW1360+AX1360,2)</f>
        <v>0</v>
      </c>
      <c r="AW1360" s="34">
        <f>ROUND(G1360*AO1360,2)</f>
        <v>0</v>
      </c>
      <c r="AX1360" s="34">
        <f>ROUND(G1360*AP1360,2)</f>
        <v>0</v>
      </c>
      <c r="AY1360" s="65" t="s">
        <v>151</v>
      </c>
      <c r="AZ1360" s="65" t="s">
        <v>2556</v>
      </c>
      <c r="BA1360" s="46" t="s">
        <v>2557</v>
      </c>
      <c r="BC1360" s="34">
        <f>AW1360+AX1360</f>
        <v>0</v>
      </c>
      <c r="BD1360" s="34">
        <f>H1360/(100-BE1360)*100</f>
        <v>0</v>
      </c>
      <c r="BE1360" s="34">
        <v>0</v>
      </c>
      <c r="BF1360" s="34">
        <f>1360</f>
        <v>1360</v>
      </c>
      <c r="BH1360" s="34">
        <f>G1360*AO1360</f>
        <v>0</v>
      </c>
      <c r="BI1360" s="34">
        <f>G1360*AP1360</f>
        <v>0</v>
      </c>
      <c r="BJ1360" s="34">
        <f>G1360*H1360</f>
        <v>0</v>
      </c>
      <c r="BK1360" s="34"/>
      <c r="BL1360" s="34">
        <v>13</v>
      </c>
      <c r="BW1360" s="34">
        <v>21</v>
      </c>
      <c r="BX1360" s="3" t="s">
        <v>2567</v>
      </c>
    </row>
    <row r="1361" spans="1:76" x14ac:dyDescent="0.25">
      <c r="A1361" s="66"/>
      <c r="D1361" s="67" t="s">
        <v>2564</v>
      </c>
      <c r="E1361" s="67" t="s">
        <v>4</v>
      </c>
      <c r="G1361" s="68">
        <v>14.08</v>
      </c>
      <c r="K1361" s="59"/>
    </row>
    <row r="1362" spans="1:76" x14ac:dyDescent="0.25">
      <c r="A1362" s="60" t="s">
        <v>4</v>
      </c>
      <c r="B1362" s="61" t="s">
        <v>93</v>
      </c>
      <c r="C1362" s="61" t="s">
        <v>137</v>
      </c>
      <c r="D1362" s="167" t="s">
        <v>160</v>
      </c>
      <c r="E1362" s="168"/>
      <c r="F1362" s="62" t="s">
        <v>79</v>
      </c>
      <c r="G1362" s="62" t="s">
        <v>79</v>
      </c>
      <c r="H1362" s="63" t="s">
        <v>79</v>
      </c>
      <c r="I1362" s="39">
        <f>SUM(I1363:I1369)</f>
        <v>0</v>
      </c>
      <c r="J1362" s="46" t="s">
        <v>4</v>
      </c>
      <c r="K1362" s="59"/>
      <c r="AI1362" s="46" t="s">
        <v>93</v>
      </c>
      <c r="AS1362" s="39">
        <f>SUM(AJ1363:AJ1369)</f>
        <v>0</v>
      </c>
      <c r="AT1362" s="39">
        <f>SUM(AK1363:AK1369)</f>
        <v>0</v>
      </c>
      <c r="AU1362" s="39">
        <f>SUM(AL1363:AL1369)</f>
        <v>0</v>
      </c>
    </row>
    <row r="1363" spans="1:76" x14ac:dyDescent="0.25">
      <c r="A1363" s="1" t="s">
        <v>2568</v>
      </c>
      <c r="B1363" s="2" t="s">
        <v>93</v>
      </c>
      <c r="C1363" s="2" t="s">
        <v>2569</v>
      </c>
      <c r="D1363" s="86" t="s">
        <v>2570</v>
      </c>
      <c r="E1363" s="81"/>
      <c r="F1363" s="2" t="s">
        <v>143</v>
      </c>
      <c r="G1363" s="34">
        <v>41.44</v>
      </c>
      <c r="H1363" s="64">
        <v>0</v>
      </c>
      <c r="I1363" s="34">
        <f>ROUND(G1363*H1363,2)</f>
        <v>0</v>
      </c>
      <c r="J1363" s="65" t="s">
        <v>133</v>
      </c>
      <c r="K1363" s="59"/>
      <c r="Z1363" s="34">
        <f>ROUND(IF(AQ1363="5",BJ1363,0),2)</f>
        <v>0</v>
      </c>
      <c r="AB1363" s="34">
        <f>ROUND(IF(AQ1363="1",BH1363,0),2)</f>
        <v>0</v>
      </c>
      <c r="AC1363" s="34">
        <f>ROUND(IF(AQ1363="1",BI1363,0),2)</f>
        <v>0</v>
      </c>
      <c r="AD1363" s="34">
        <f>ROUND(IF(AQ1363="7",BH1363,0),2)</f>
        <v>0</v>
      </c>
      <c r="AE1363" s="34">
        <f>ROUND(IF(AQ1363="7",BI1363,0),2)</f>
        <v>0</v>
      </c>
      <c r="AF1363" s="34">
        <f>ROUND(IF(AQ1363="2",BH1363,0),2)</f>
        <v>0</v>
      </c>
      <c r="AG1363" s="34">
        <f>ROUND(IF(AQ1363="2",BI1363,0),2)</f>
        <v>0</v>
      </c>
      <c r="AH1363" s="34">
        <f>ROUND(IF(AQ1363="0",BJ1363,0),2)</f>
        <v>0</v>
      </c>
      <c r="AI1363" s="46" t="s">
        <v>93</v>
      </c>
      <c r="AJ1363" s="34">
        <f>IF(AN1363=0,I1363,0)</f>
        <v>0</v>
      </c>
      <c r="AK1363" s="34">
        <f>IF(AN1363=12,I1363,0)</f>
        <v>0</v>
      </c>
      <c r="AL1363" s="34">
        <f>IF(AN1363=21,I1363,0)</f>
        <v>0</v>
      </c>
      <c r="AN1363" s="34">
        <v>21</v>
      </c>
      <c r="AO1363" s="34">
        <f>H1363*0</f>
        <v>0</v>
      </c>
      <c r="AP1363" s="34">
        <f>H1363*(1-0)</f>
        <v>0</v>
      </c>
      <c r="AQ1363" s="65" t="s">
        <v>129</v>
      </c>
      <c r="AV1363" s="34">
        <f>ROUND(AW1363+AX1363,2)</f>
        <v>0</v>
      </c>
      <c r="AW1363" s="34">
        <f>ROUND(G1363*AO1363,2)</f>
        <v>0</v>
      </c>
      <c r="AX1363" s="34">
        <f>ROUND(G1363*AP1363,2)</f>
        <v>0</v>
      </c>
      <c r="AY1363" s="65" t="s">
        <v>164</v>
      </c>
      <c r="AZ1363" s="65" t="s">
        <v>2556</v>
      </c>
      <c r="BA1363" s="46" t="s">
        <v>2557</v>
      </c>
      <c r="BC1363" s="34">
        <f>AW1363+AX1363</f>
        <v>0</v>
      </c>
      <c r="BD1363" s="34">
        <f>H1363/(100-BE1363)*100</f>
        <v>0</v>
      </c>
      <c r="BE1363" s="34">
        <v>0</v>
      </c>
      <c r="BF1363" s="34">
        <f>1363</f>
        <v>1363</v>
      </c>
      <c r="BH1363" s="34">
        <f>G1363*AO1363</f>
        <v>0</v>
      </c>
      <c r="BI1363" s="34">
        <f>G1363*AP1363</f>
        <v>0</v>
      </c>
      <c r="BJ1363" s="34">
        <f>G1363*H1363</f>
        <v>0</v>
      </c>
      <c r="BK1363" s="34"/>
      <c r="BL1363" s="34">
        <v>16</v>
      </c>
      <c r="BW1363" s="34">
        <v>21</v>
      </c>
      <c r="BX1363" s="3" t="s">
        <v>2570</v>
      </c>
    </row>
    <row r="1364" spans="1:76" x14ac:dyDescent="0.25">
      <c r="A1364" s="66"/>
      <c r="D1364" s="67" t="s">
        <v>2571</v>
      </c>
      <c r="E1364" s="67" t="s">
        <v>4</v>
      </c>
      <c r="G1364" s="68">
        <v>41.44</v>
      </c>
      <c r="K1364" s="59"/>
    </row>
    <row r="1365" spans="1:76" x14ac:dyDescent="0.25">
      <c r="A1365" s="1" t="s">
        <v>2572</v>
      </c>
      <c r="B1365" s="2" t="s">
        <v>93</v>
      </c>
      <c r="C1365" s="2" t="s">
        <v>2573</v>
      </c>
      <c r="D1365" s="86" t="s">
        <v>2574</v>
      </c>
      <c r="E1365" s="81"/>
      <c r="F1365" s="2" t="s">
        <v>143</v>
      </c>
      <c r="G1365" s="34">
        <v>14.08</v>
      </c>
      <c r="H1365" s="64">
        <v>0</v>
      </c>
      <c r="I1365" s="34">
        <f>ROUND(G1365*H1365,2)</f>
        <v>0</v>
      </c>
      <c r="J1365" s="65" t="s">
        <v>133</v>
      </c>
      <c r="K1365" s="59"/>
      <c r="Z1365" s="34">
        <f>ROUND(IF(AQ1365="5",BJ1365,0),2)</f>
        <v>0</v>
      </c>
      <c r="AB1365" s="34">
        <f>ROUND(IF(AQ1365="1",BH1365,0),2)</f>
        <v>0</v>
      </c>
      <c r="AC1365" s="34">
        <f>ROUND(IF(AQ1365="1",BI1365,0),2)</f>
        <v>0</v>
      </c>
      <c r="AD1365" s="34">
        <f>ROUND(IF(AQ1365="7",BH1365,0),2)</f>
        <v>0</v>
      </c>
      <c r="AE1365" s="34">
        <f>ROUND(IF(AQ1365="7",BI1365,0),2)</f>
        <v>0</v>
      </c>
      <c r="AF1365" s="34">
        <f>ROUND(IF(AQ1365="2",BH1365,0),2)</f>
        <v>0</v>
      </c>
      <c r="AG1365" s="34">
        <f>ROUND(IF(AQ1365="2",BI1365,0),2)</f>
        <v>0</v>
      </c>
      <c r="AH1365" s="34">
        <f>ROUND(IF(AQ1365="0",BJ1365,0),2)</f>
        <v>0</v>
      </c>
      <c r="AI1365" s="46" t="s">
        <v>93</v>
      </c>
      <c r="AJ1365" s="34">
        <f>IF(AN1365=0,I1365,0)</f>
        <v>0</v>
      </c>
      <c r="AK1365" s="34">
        <f>IF(AN1365=12,I1365,0)</f>
        <v>0</v>
      </c>
      <c r="AL1365" s="34">
        <f>IF(AN1365=21,I1365,0)</f>
        <v>0</v>
      </c>
      <c r="AN1365" s="34">
        <v>21</v>
      </c>
      <c r="AO1365" s="34">
        <f>H1365*0</f>
        <v>0</v>
      </c>
      <c r="AP1365" s="34">
        <f>H1365*(1-0)</f>
        <v>0</v>
      </c>
      <c r="AQ1365" s="65" t="s">
        <v>129</v>
      </c>
      <c r="AV1365" s="34">
        <f>ROUND(AW1365+AX1365,2)</f>
        <v>0</v>
      </c>
      <c r="AW1365" s="34">
        <f>ROUND(G1365*AO1365,2)</f>
        <v>0</v>
      </c>
      <c r="AX1365" s="34">
        <f>ROUND(G1365*AP1365,2)</f>
        <v>0</v>
      </c>
      <c r="AY1365" s="65" t="s">
        <v>164</v>
      </c>
      <c r="AZ1365" s="65" t="s">
        <v>2556</v>
      </c>
      <c r="BA1365" s="46" t="s">
        <v>2557</v>
      </c>
      <c r="BC1365" s="34">
        <f>AW1365+AX1365</f>
        <v>0</v>
      </c>
      <c r="BD1365" s="34">
        <f>H1365/(100-BE1365)*100</f>
        <v>0</v>
      </c>
      <c r="BE1365" s="34">
        <v>0</v>
      </c>
      <c r="BF1365" s="34">
        <f>1365</f>
        <v>1365</v>
      </c>
      <c r="BH1365" s="34">
        <f>G1365*AO1365</f>
        <v>0</v>
      </c>
      <c r="BI1365" s="34">
        <f>G1365*AP1365</f>
        <v>0</v>
      </c>
      <c r="BJ1365" s="34">
        <f>G1365*H1365</f>
        <v>0</v>
      </c>
      <c r="BK1365" s="34"/>
      <c r="BL1365" s="34">
        <v>16</v>
      </c>
      <c r="BW1365" s="34">
        <v>21</v>
      </c>
      <c r="BX1365" s="3" t="s">
        <v>2574</v>
      </c>
    </row>
    <row r="1366" spans="1:76" x14ac:dyDescent="0.25">
      <c r="A1366" s="66"/>
      <c r="D1366" s="67" t="s">
        <v>2575</v>
      </c>
      <c r="E1366" s="67" t="s">
        <v>4</v>
      </c>
      <c r="G1366" s="68">
        <v>14.08</v>
      </c>
      <c r="K1366" s="59"/>
    </row>
    <row r="1367" spans="1:76" x14ac:dyDescent="0.25">
      <c r="A1367" s="1" t="s">
        <v>2576</v>
      </c>
      <c r="B1367" s="2" t="s">
        <v>93</v>
      </c>
      <c r="C1367" s="2" t="s">
        <v>2577</v>
      </c>
      <c r="D1367" s="86" t="s">
        <v>2578</v>
      </c>
      <c r="E1367" s="81"/>
      <c r="F1367" s="2" t="s">
        <v>143</v>
      </c>
      <c r="G1367" s="34">
        <v>24.76</v>
      </c>
      <c r="H1367" s="64">
        <v>0</v>
      </c>
      <c r="I1367" s="34">
        <f>ROUND(G1367*H1367,2)</f>
        <v>0</v>
      </c>
      <c r="J1367" s="65" t="s">
        <v>133</v>
      </c>
      <c r="K1367" s="59"/>
      <c r="Z1367" s="34">
        <f>ROUND(IF(AQ1367="5",BJ1367,0),2)</f>
        <v>0</v>
      </c>
      <c r="AB1367" s="34">
        <f>ROUND(IF(AQ1367="1",BH1367,0),2)</f>
        <v>0</v>
      </c>
      <c r="AC1367" s="34">
        <f>ROUND(IF(AQ1367="1",BI1367,0),2)</f>
        <v>0</v>
      </c>
      <c r="AD1367" s="34">
        <f>ROUND(IF(AQ1367="7",BH1367,0),2)</f>
        <v>0</v>
      </c>
      <c r="AE1367" s="34">
        <f>ROUND(IF(AQ1367="7",BI1367,0),2)</f>
        <v>0</v>
      </c>
      <c r="AF1367" s="34">
        <f>ROUND(IF(AQ1367="2",BH1367,0),2)</f>
        <v>0</v>
      </c>
      <c r="AG1367" s="34">
        <f>ROUND(IF(AQ1367="2",BI1367,0),2)</f>
        <v>0</v>
      </c>
      <c r="AH1367" s="34">
        <f>ROUND(IF(AQ1367="0",BJ1367,0),2)</f>
        <v>0</v>
      </c>
      <c r="AI1367" s="46" t="s">
        <v>93</v>
      </c>
      <c r="AJ1367" s="34">
        <f>IF(AN1367=0,I1367,0)</f>
        <v>0</v>
      </c>
      <c r="AK1367" s="34">
        <f>IF(AN1367=12,I1367,0)</f>
        <v>0</v>
      </c>
      <c r="AL1367" s="34">
        <f>IF(AN1367=21,I1367,0)</f>
        <v>0</v>
      </c>
      <c r="AN1367" s="34">
        <v>21</v>
      </c>
      <c r="AO1367" s="34">
        <f>H1367*0</f>
        <v>0</v>
      </c>
      <c r="AP1367" s="34">
        <f>H1367*(1-0)</f>
        <v>0</v>
      </c>
      <c r="AQ1367" s="65" t="s">
        <v>129</v>
      </c>
      <c r="AV1367" s="34">
        <f>ROUND(AW1367+AX1367,2)</f>
        <v>0</v>
      </c>
      <c r="AW1367" s="34">
        <f>ROUND(G1367*AO1367,2)</f>
        <v>0</v>
      </c>
      <c r="AX1367" s="34">
        <f>ROUND(G1367*AP1367,2)</f>
        <v>0</v>
      </c>
      <c r="AY1367" s="65" t="s">
        <v>164</v>
      </c>
      <c r="AZ1367" s="65" t="s">
        <v>2556</v>
      </c>
      <c r="BA1367" s="46" t="s">
        <v>2557</v>
      </c>
      <c r="BC1367" s="34">
        <f>AW1367+AX1367</f>
        <v>0</v>
      </c>
      <c r="BD1367" s="34">
        <f>H1367/(100-BE1367)*100</f>
        <v>0</v>
      </c>
      <c r="BE1367" s="34">
        <v>0</v>
      </c>
      <c r="BF1367" s="34">
        <f>1367</f>
        <v>1367</v>
      </c>
      <c r="BH1367" s="34">
        <f>G1367*AO1367</f>
        <v>0</v>
      </c>
      <c r="BI1367" s="34">
        <f>G1367*AP1367</f>
        <v>0</v>
      </c>
      <c r="BJ1367" s="34">
        <f>G1367*H1367</f>
        <v>0</v>
      </c>
      <c r="BK1367" s="34"/>
      <c r="BL1367" s="34">
        <v>16</v>
      </c>
      <c r="BW1367" s="34">
        <v>21</v>
      </c>
      <c r="BX1367" s="3" t="s">
        <v>2578</v>
      </c>
    </row>
    <row r="1368" spans="1:76" x14ac:dyDescent="0.25">
      <c r="A1368" s="66"/>
      <c r="D1368" s="67" t="s">
        <v>2579</v>
      </c>
      <c r="E1368" s="67" t="s">
        <v>4</v>
      </c>
      <c r="G1368" s="68">
        <v>24.76</v>
      </c>
      <c r="K1368" s="59"/>
    </row>
    <row r="1369" spans="1:76" x14ac:dyDescent="0.25">
      <c r="A1369" s="1" t="s">
        <v>2580</v>
      </c>
      <c r="B1369" s="2" t="s">
        <v>93</v>
      </c>
      <c r="C1369" s="2" t="s">
        <v>2581</v>
      </c>
      <c r="D1369" s="86" t="s">
        <v>2582</v>
      </c>
      <c r="E1369" s="81"/>
      <c r="F1369" s="2" t="s">
        <v>143</v>
      </c>
      <c r="G1369" s="34">
        <v>24.76</v>
      </c>
      <c r="H1369" s="64">
        <v>0</v>
      </c>
      <c r="I1369" s="34">
        <f>ROUND(G1369*H1369,2)</f>
        <v>0</v>
      </c>
      <c r="J1369" s="65" t="s">
        <v>133</v>
      </c>
      <c r="K1369" s="59"/>
      <c r="Z1369" s="34">
        <f>ROUND(IF(AQ1369="5",BJ1369,0),2)</f>
        <v>0</v>
      </c>
      <c r="AB1369" s="34">
        <f>ROUND(IF(AQ1369="1",BH1369,0),2)</f>
        <v>0</v>
      </c>
      <c r="AC1369" s="34">
        <f>ROUND(IF(AQ1369="1",BI1369,0),2)</f>
        <v>0</v>
      </c>
      <c r="AD1369" s="34">
        <f>ROUND(IF(AQ1369="7",BH1369,0),2)</f>
        <v>0</v>
      </c>
      <c r="AE1369" s="34">
        <f>ROUND(IF(AQ1369="7",BI1369,0),2)</f>
        <v>0</v>
      </c>
      <c r="AF1369" s="34">
        <f>ROUND(IF(AQ1369="2",BH1369,0),2)</f>
        <v>0</v>
      </c>
      <c r="AG1369" s="34">
        <f>ROUND(IF(AQ1369="2",BI1369,0),2)</f>
        <v>0</v>
      </c>
      <c r="AH1369" s="34">
        <f>ROUND(IF(AQ1369="0",BJ1369,0),2)</f>
        <v>0</v>
      </c>
      <c r="AI1369" s="46" t="s">
        <v>93</v>
      </c>
      <c r="AJ1369" s="34">
        <f>IF(AN1369=0,I1369,0)</f>
        <v>0</v>
      </c>
      <c r="AK1369" s="34">
        <f>IF(AN1369=12,I1369,0)</f>
        <v>0</v>
      </c>
      <c r="AL1369" s="34">
        <f>IF(AN1369=21,I1369,0)</f>
        <v>0</v>
      </c>
      <c r="AN1369" s="34">
        <v>21</v>
      </c>
      <c r="AO1369" s="34">
        <f>H1369*0</f>
        <v>0</v>
      </c>
      <c r="AP1369" s="34">
        <f>H1369*(1-0)</f>
        <v>0</v>
      </c>
      <c r="AQ1369" s="65" t="s">
        <v>129</v>
      </c>
      <c r="AV1369" s="34">
        <f>ROUND(AW1369+AX1369,2)</f>
        <v>0</v>
      </c>
      <c r="AW1369" s="34">
        <f>ROUND(G1369*AO1369,2)</f>
        <v>0</v>
      </c>
      <c r="AX1369" s="34">
        <f>ROUND(G1369*AP1369,2)</f>
        <v>0</v>
      </c>
      <c r="AY1369" s="65" t="s">
        <v>164</v>
      </c>
      <c r="AZ1369" s="65" t="s">
        <v>2556</v>
      </c>
      <c r="BA1369" s="46" t="s">
        <v>2557</v>
      </c>
      <c r="BC1369" s="34">
        <f>AW1369+AX1369</f>
        <v>0</v>
      </c>
      <c r="BD1369" s="34">
        <f>H1369/(100-BE1369)*100</f>
        <v>0</v>
      </c>
      <c r="BE1369" s="34">
        <v>0</v>
      </c>
      <c r="BF1369" s="34">
        <f>1369</f>
        <v>1369</v>
      </c>
      <c r="BH1369" s="34">
        <f>G1369*AO1369</f>
        <v>0</v>
      </c>
      <c r="BI1369" s="34">
        <f>G1369*AP1369</f>
        <v>0</v>
      </c>
      <c r="BJ1369" s="34">
        <f>G1369*H1369</f>
        <v>0</v>
      </c>
      <c r="BK1369" s="34"/>
      <c r="BL1369" s="34">
        <v>16</v>
      </c>
      <c r="BW1369" s="34">
        <v>21</v>
      </c>
      <c r="BX1369" s="3" t="s">
        <v>2582</v>
      </c>
    </row>
    <row r="1370" spans="1:76" x14ac:dyDescent="0.25">
      <c r="A1370" s="66"/>
      <c r="D1370" s="67" t="s">
        <v>2579</v>
      </c>
      <c r="E1370" s="67" t="s">
        <v>4</v>
      </c>
      <c r="G1370" s="68">
        <v>24.76</v>
      </c>
      <c r="K1370" s="59"/>
    </row>
    <row r="1371" spans="1:76" x14ac:dyDescent="0.25">
      <c r="A1371" s="60" t="s">
        <v>4</v>
      </c>
      <c r="B1371" s="61" t="s">
        <v>93</v>
      </c>
      <c r="C1371" s="61" t="s">
        <v>180</v>
      </c>
      <c r="D1371" s="167" t="s">
        <v>181</v>
      </c>
      <c r="E1371" s="168"/>
      <c r="F1371" s="62" t="s">
        <v>79</v>
      </c>
      <c r="G1371" s="62" t="s">
        <v>79</v>
      </c>
      <c r="H1371" s="63" t="s">
        <v>79</v>
      </c>
      <c r="I1371" s="39">
        <f>SUM(I1372:I1380)</f>
        <v>0</v>
      </c>
      <c r="J1371" s="46" t="s">
        <v>4</v>
      </c>
      <c r="K1371" s="59"/>
      <c r="AI1371" s="46" t="s">
        <v>93</v>
      </c>
      <c r="AS1371" s="39">
        <f>SUM(AJ1372:AJ1380)</f>
        <v>0</v>
      </c>
      <c r="AT1371" s="39">
        <f>SUM(AK1372:AK1380)</f>
        <v>0</v>
      </c>
      <c r="AU1371" s="39">
        <f>SUM(AL1372:AL1380)</f>
        <v>0</v>
      </c>
    </row>
    <row r="1372" spans="1:76" x14ac:dyDescent="0.25">
      <c r="A1372" s="1" t="s">
        <v>2583</v>
      </c>
      <c r="B1372" s="2" t="s">
        <v>93</v>
      </c>
      <c r="C1372" s="2" t="s">
        <v>2584</v>
      </c>
      <c r="D1372" s="86" t="s">
        <v>2585</v>
      </c>
      <c r="E1372" s="81"/>
      <c r="F1372" s="2" t="s">
        <v>143</v>
      </c>
      <c r="G1372" s="34">
        <v>5.44</v>
      </c>
      <c r="H1372" s="64">
        <v>0</v>
      </c>
      <c r="I1372" s="34">
        <f>ROUND(G1372*H1372,2)</f>
        <v>0</v>
      </c>
      <c r="J1372" s="65" t="s">
        <v>133</v>
      </c>
      <c r="K1372" s="59"/>
      <c r="Z1372" s="34">
        <f>ROUND(IF(AQ1372="5",BJ1372,0),2)</f>
        <v>0</v>
      </c>
      <c r="AB1372" s="34">
        <f>ROUND(IF(AQ1372="1",BH1372,0),2)</f>
        <v>0</v>
      </c>
      <c r="AC1372" s="34">
        <f>ROUND(IF(AQ1372="1",BI1372,0),2)</f>
        <v>0</v>
      </c>
      <c r="AD1372" s="34">
        <f>ROUND(IF(AQ1372="7",BH1372,0),2)</f>
        <v>0</v>
      </c>
      <c r="AE1372" s="34">
        <f>ROUND(IF(AQ1372="7",BI1372,0),2)</f>
        <v>0</v>
      </c>
      <c r="AF1372" s="34">
        <f>ROUND(IF(AQ1372="2",BH1372,0),2)</f>
        <v>0</v>
      </c>
      <c r="AG1372" s="34">
        <f>ROUND(IF(AQ1372="2",BI1372,0),2)</f>
        <v>0</v>
      </c>
      <c r="AH1372" s="34">
        <f>ROUND(IF(AQ1372="0",BJ1372,0),2)</f>
        <v>0</v>
      </c>
      <c r="AI1372" s="46" t="s">
        <v>93</v>
      </c>
      <c r="AJ1372" s="34">
        <f>IF(AN1372=0,I1372,0)</f>
        <v>0</v>
      </c>
      <c r="AK1372" s="34">
        <f>IF(AN1372=12,I1372,0)</f>
        <v>0</v>
      </c>
      <c r="AL1372" s="34">
        <f>IF(AN1372=21,I1372,0)</f>
        <v>0</v>
      </c>
      <c r="AN1372" s="34">
        <v>21</v>
      </c>
      <c r="AO1372" s="34">
        <f>H1372*0.467115757</f>
        <v>0</v>
      </c>
      <c r="AP1372" s="34">
        <f>H1372*(1-0.467115757)</f>
        <v>0</v>
      </c>
      <c r="AQ1372" s="65" t="s">
        <v>129</v>
      </c>
      <c r="AV1372" s="34">
        <f>ROUND(AW1372+AX1372,2)</f>
        <v>0</v>
      </c>
      <c r="AW1372" s="34">
        <f>ROUND(G1372*AO1372,2)</f>
        <v>0</v>
      </c>
      <c r="AX1372" s="34">
        <f>ROUND(G1372*AP1372,2)</f>
        <v>0</v>
      </c>
      <c r="AY1372" s="65" t="s">
        <v>185</v>
      </c>
      <c r="AZ1372" s="65" t="s">
        <v>2556</v>
      </c>
      <c r="BA1372" s="46" t="s">
        <v>2557</v>
      </c>
      <c r="BC1372" s="34">
        <f>AW1372+AX1372</f>
        <v>0</v>
      </c>
      <c r="BD1372" s="34">
        <f>H1372/(100-BE1372)*100</f>
        <v>0</v>
      </c>
      <c r="BE1372" s="34">
        <v>0</v>
      </c>
      <c r="BF1372" s="34">
        <f>1372</f>
        <v>1372</v>
      </c>
      <c r="BH1372" s="34">
        <f>G1372*AO1372</f>
        <v>0</v>
      </c>
      <c r="BI1372" s="34">
        <f>G1372*AP1372</f>
        <v>0</v>
      </c>
      <c r="BJ1372" s="34">
        <f>G1372*H1372</f>
        <v>0</v>
      </c>
      <c r="BK1372" s="34"/>
      <c r="BL1372" s="34">
        <v>17</v>
      </c>
      <c r="BW1372" s="34">
        <v>21</v>
      </c>
      <c r="BX1372" s="3" t="s">
        <v>2585</v>
      </c>
    </row>
    <row r="1373" spans="1:76" x14ac:dyDescent="0.25">
      <c r="A1373" s="66"/>
      <c r="D1373" s="67" t="s">
        <v>2586</v>
      </c>
      <c r="E1373" s="67" t="s">
        <v>4</v>
      </c>
      <c r="G1373" s="68">
        <v>5.44</v>
      </c>
      <c r="K1373" s="59"/>
    </row>
    <row r="1374" spans="1:76" x14ac:dyDescent="0.25">
      <c r="A1374" s="1" t="s">
        <v>2587</v>
      </c>
      <c r="B1374" s="2" t="s">
        <v>93</v>
      </c>
      <c r="C1374" s="2" t="s">
        <v>2588</v>
      </c>
      <c r="D1374" s="86" t="s">
        <v>2589</v>
      </c>
      <c r="E1374" s="81"/>
      <c r="F1374" s="2" t="s">
        <v>143</v>
      </c>
      <c r="G1374" s="34">
        <v>16.32</v>
      </c>
      <c r="H1374" s="64">
        <v>0</v>
      </c>
      <c r="I1374" s="34">
        <f>ROUND(G1374*H1374,2)</f>
        <v>0</v>
      </c>
      <c r="J1374" s="65" t="s">
        <v>133</v>
      </c>
      <c r="K1374" s="59"/>
      <c r="Z1374" s="34">
        <f>ROUND(IF(AQ1374="5",BJ1374,0),2)</f>
        <v>0</v>
      </c>
      <c r="AB1374" s="34">
        <f>ROUND(IF(AQ1374="1",BH1374,0),2)</f>
        <v>0</v>
      </c>
      <c r="AC1374" s="34">
        <f>ROUND(IF(AQ1374="1",BI1374,0),2)</f>
        <v>0</v>
      </c>
      <c r="AD1374" s="34">
        <f>ROUND(IF(AQ1374="7",BH1374,0),2)</f>
        <v>0</v>
      </c>
      <c r="AE1374" s="34">
        <f>ROUND(IF(AQ1374="7",BI1374,0),2)</f>
        <v>0</v>
      </c>
      <c r="AF1374" s="34">
        <f>ROUND(IF(AQ1374="2",BH1374,0),2)</f>
        <v>0</v>
      </c>
      <c r="AG1374" s="34">
        <f>ROUND(IF(AQ1374="2",BI1374,0),2)</f>
        <v>0</v>
      </c>
      <c r="AH1374" s="34">
        <f>ROUND(IF(AQ1374="0",BJ1374,0),2)</f>
        <v>0</v>
      </c>
      <c r="AI1374" s="46" t="s">
        <v>93</v>
      </c>
      <c r="AJ1374" s="34">
        <f>IF(AN1374=0,I1374,0)</f>
        <v>0</v>
      </c>
      <c r="AK1374" s="34">
        <f>IF(AN1374=12,I1374,0)</f>
        <v>0</v>
      </c>
      <c r="AL1374" s="34">
        <f>IF(AN1374=21,I1374,0)</f>
        <v>0</v>
      </c>
      <c r="AN1374" s="34">
        <v>21</v>
      </c>
      <c r="AO1374" s="34">
        <f>H1374*0.333778772</f>
        <v>0</v>
      </c>
      <c r="AP1374" s="34">
        <f>H1374*(1-0.333778772)</f>
        <v>0</v>
      </c>
      <c r="AQ1374" s="65" t="s">
        <v>129</v>
      </c>
      <c r="AV1374" s="34">
        <f>ROUND(AW1374+AX1374,2)</f>
        <v>0</v>
      </c>
      <c r="AW1374" s="34">
        <f>ROUND(G1374*AO1374,2)</f>
        <v>0</v>
      </c>
      <c r="AX1374" s="34">
        <f>ROUND(G1374*AP1374,2)</f>
        <v>0</v>
      </c>
      <c r="AY1374" s="65" t="s">
        <v>185</v>
      </c>
      <c r="AZ1374" s="65" t="s">
        <v>2556</v>
      </c>
      <c r="BA1374" s="46" t="s">
        <v>2557</v>
      </c>
      <c r="BC1374" s="34">
        <f>AW1374+AX1374</f>
        <v>0</v>
      </c>
      <c r="BD1374" s="34">
        <f>H1374/(100-BE1374)*100</f>
        <v>0</v>
      </c>
      <c r="BE1374" s="34">
        <v>0</v>
      </c>
      <c r="BF1374" s="34">
        <f>1374</f>
        <v>1374</v>
      </c>
      <c r="BH1374" s="34">
        <f>G1374*AO1374</f>
        <v>0</v>
      </c>
      <c r="BI1374" s="34">
        <f>G1374*AP1374</f>
        <v>0</v>
      </c>
      <c r="BJ1374" s="34">
        <f>G1374*H1374</f>
        <v>0</v>
      </c>
      <c r="BK1374" s="34"/>
      <c r="BL1374" s="34">
        <v>17</v>
      </c>
      <c r="BW1374" s="34">
        <v>21</v>
      </c>
      <c r="BX1374" s="3" t="s">
        <v>2589</v>
      </c>
    </row>
    <row r="1375" spans="1:76" ht="13.5" customHeight="1" x14ac:dyDescent="0.25">
      <c r="A1375" s="66"/>
      <c r="C1375" s="69" t="s">
        <v>204</v>
      </c>
      <c r="D1375" s="169" t="s">
        <v>2590</v>
      </c>
      <c r="E1375" s="170"/>
      <c r="F1375" s="170"/>
      <c r="G1375" s="170"/>
      <c r="H1375" s="171"/>
      <c r="I1375" s="170"/>
      <c r="J1375" s="170"/>
      <c r="K1375" s="172"/>
    </row>
    <row r="1376" spans="1:76" x14ac:dyDescent="0.25">
      <c r="A1376" s="66"/>
      <c r="D1376" s="67" t="s">
        <v>2591</v>
      </c>
      <c r="E1376" s="67" t="s">
        <v>4</v>
      </c>
      <c r="G1376" s="68">
        <v>16.32</v>
      </c>
      <c r="K1376" s="59"/>
    </row>
    <row r="1377" spans="1:76" x14ac:dyDescent="0.25">
      <c r="A1377" s="1" t="s">
        <v>2592</v>
      </c>
      <c r="B1377" s="2" t="s">
        <v>93</v>
      </c>
      <c r="C1377" s="2" t="s">
        <v>183</v>
      </c>
      <c r="D1377" s="86" t="s">
        <v>184</v>
      </c>
      <c r="E1377" s="81"/>
      <c r="F1377" s="2" t="s">
        <v>143</v>
      </c>
      <c r="G1377" s="34">
        <v>13.04</v>
      </c>
      <c r="H1377" s="64">
        <v>0</v>
      </c>
      <c r="I1377" s="34">
        <f>ROUND(G1377*H1377,2)</f>
        <v>0</v>
      </c>
      <c r="J1377" s="65" t="s">
        <v>133</v>
      </c>
      <c r="K1377" s="59"/>
      <c r="Z1377" s="34">
        <f>ROUND(IF(AQ1377="5",BJ1377,0),2)</f>
        <v>0</v>
      </c>
      <c r="AB1377" s="34">
        <f>ROUND(IF(AQ1377="1",BH1377,0),2)</f>
        <v>0</v>
      </c>
      <c r="AC1377" s="34">
        <f>ROUND(IF(AQ1377="1",BI1377,0),2)</f>
        <v>0</v>
      </c>
      <c r="AD1377" s="34">
        <f>ROUND(IF(AQ1377="7",BH1377,0),2)</f>
        <v>0</v>
      </c>
      <c r="AE1377" s="34">
        <f>ROUND(IF(AQ1377="7",BI1377,0),2)</f>
        <v>0</v>
      </c>
      <c r="AF1377" s="34">
        <f>ROUND(IF(AQ1377="2",BH1377,0),2)</f>
        <v>0</v>
      </c>
      <c r="AG1377" s="34">
        <f>ROUND(IF(AQ1377="2",BI1377,0),2)</f>
        <v>0</v>
      </c>
      <c r="AH1377" s="34">
        <f>ROUND(IF(AQ1377="0",BJ1377,0),2)</f>
        <v>0</v>
      </c>
      <c r="AI1377" s="46" t="s">
        <v>93</v>
      </c>
      <c r="AJ1377" s="34">
        <f>IF(AN1377=0,I1377,0)</f>
        <v>0</v>
      </c>
      <c r="AK1377" s="34">
        <f>IF(AN1377=12,I1377,0)</f>
        <v>0</v>
      </c>
      <c r="AL1377" s="34">
        <f>IF(AN1377=21,I1377,0)</f>
        <v>0</v>
      </c>
      <c r="AN1377" s="34">
        <v>21</v>
      </c>
      <c r="AO1377" s="34">
        <f>H1377*0</f>
        <v>0</v>
      </c>
      <c r="AP1377" s="34">
        <f>H1377*(1-0)</f>
        <v>0</v>
      </c>
      <c r="AQ1377" s="65" t="s">
        <v>129</v>
      </c>
      <c r="AV1377" s="34">
        <f>ROUND(AW1377+AX1377,2)</f>
        <v>0</v>
      </c>
      <c r="AW1377" s="34">
        <f>ROUND(G1377*AO1377,2)</f>
        <v>0</v>
      </c>
      <c r="AX1377" s="34">
        <f>ROUND(G1377*AP1377,2)</f>
        <v>0</v>
      </c>
      <c r="AY1377" s="65" t="s">
        <v>185</v>
      </c>
      <c r="AZ1377" s="65" t="s">
        <v>2556</v>
      </c>
      <c r="BA1377" s="46" t="s">
        <v>2557</v>
      </c>
      <c r="BC1377" s="34">
        <f>AW1377+AX1377</f>
        <v>0</v>
      </c>
      <c r="BD1377" s="34">
        <f>H1377/(100-BE1377)*100</f>
        <v>0</v>
      </c>
      <c r="BE1377" s="34">
        <v>0</v>
      </c>
      <c r="BF1377" s="34">
        <f>1377</f>
        <v>1377</v>
      </c>
      <c r="BH1377" s="34">
        <f>G1377*AO1377</f>
        <v>0</v>
      </c>
      <c r="BI1377" s="34">
        <f>G1377*AP1377</f>
        <v>0</v>
      </c>
      <c r="BJ1377" s="34">
        <f>G1377*H1377</f>
        <v>0</v>
      </c>
      <c r="BK1377" s="34"/>
      <c r="BL1377" s="34">
        <v>17</v>
      </c>
      <c r="BW1377" s="34">
        <v>21</v>
      </c>
      <c r="BX1377" s="3" t="s">
        <v>184</v>
      </c>
    </row>
    <row r="1378" spans="1:76" x14ac:dyDescent="0.25">
      <c r="A1378" s="66"/>
      <c r="D1378" s="67" t="s">
        <v>2593</v>
      </c>
      <c r="E1378" s="67" t="s">
        <v>4</v>
      </c>
      <c r="G1378" s="68">
        <v>7.04</v>
      </c>
      <c r="K1378" s="59"/>
    </row>
    <row r="1379" spans="1:76" x14ac:dyDescent="0.25">
      <c r="A1379" s="66"/>
      <c r="D1379" s="67" t="s">
        <v>2594</v>
      </c>
      <c r="E1379" s="67" t="s">
        <v>4</v>
      </c>
      <c r="G1379" s="68">
        <v>6</v>
      </c>
      <c r="K1379" s="59"/>
    </row>
    <row r="1380" spans="1:76" x14ac:dyDescent="0.25">
      <c r="A1380" s="1" t="s">
        <v>2595</v>
      </c>
      <c r="B1380" s="2" t="s">
        <v>93</v>
      </c>
      <c r="C1380" s="2" t="s">
        <v>2596</v>
      </c>
      <c r="D1380" s="86" t="s">
        <v>2597</v>
      </c>
      <c r="E1380" s="81"/>
      <c r="F1380" s="2" t="s">
        <v>143</v>
      </c>
      <c r="G1380" s="34">
        <v>17.72</v>
      </c>
      <c r="H1380" s="64">
        <v>0</v>
      </c>
      <c r="I1380" s="34">
        <f>ROUND(G1380*H1380,2)</f>
        <v>0</v>
      </c>
      <c r="J1380" s="65" t="s">
        <v>133</v>
      </c>
      <c r="K1380" s="59"/>
      <c r="Z1380" s="34">
        <f>ROUND(IF(AQ1380="5",BJ1380,0),2)</f>
        <v>0</v>
      </c>
      <c r="AB1380" s="34">
        <f>ROUND(IF(AQ1380="1",BH1380,0),2)</f>
        <v>0</v>
      </c>
      <c r="AC1380" s="34">
        <f>ROUND(IF(AQ1380="1",BI1380,0),2)</f>
        <v>0</v>
      </c>
      <c r="AD1380" s="34">
        <f>ROUND(IF(AQ1380="7",BH1380,0),2)</f>
        <v>0</v>
      </c>
      <c r="AE1380" s="34">
        <f>ROUND(IF(AQ1380="7",BI1380,0),2)</f>
        <v>0</v>
      </c>
      <c r="AF1380" s="34">
        <f>ROUND(IF(AQ1380="2",BH1380,0),2)</f>
        <v>0</v>
      </c>
      <c r="AG1380" s="34">
        <f>ROUND(IF(AQ1380="2",BI1380,0),2)</f>
        <v>0</v>
      </c>
      <c r="AH1380" s="34">
        <f>ROUND(IF(AQ1380="0",BJ1380,0),2)</f>
        <v>0</v>
      </c>
      <c r="AI1380" s="46" t="s">
        <v>93</v>
      </c>
      <c r="AJ1380" s="34">
        <f>IF(AN1380=0,I1380,0)</f>
        <v>0</v>
      </c>
      <c r="AK1380" s="34">
        <f>IF(AN1380=12,I1380,0)</f>
        <v>0</v>
      </c>
      <c r="AL1380" s="34">
        <f>IF(AN1380=21,I1380,0)</f>
        <v>0</v>
      </c>
      <c r="AN1380" s="34">
        <v>21</v>
      </c>
      <c r="AO1380" s="34">
        <f>H1380*0</f>
        <v>0</v>
      </c>
      <c r="AP1380" s="34">
        <f>H1380*(1-0)</f>
        <v>0</v>
      </c>
      <c r="AQ1380" s="65" t="s">
        <v>129</v>
      </c>
      <c r="AV1380" s="34">
        <f>ROUND(AW1380+AX1380,2)</f>
        <v>0</v>
      </c>
      <c r="AW1380" s="34">
        <f>ROUND(G1380*AO1380,2)</f>
        <v>0</v>
      </c>
      <c r="AX1380" s="34">
        <f>ROUND(G1380*AP1380,2)</f>
        <v>0</v>
      </c>
      <c r="AY1380" s="65" t="s">
        <v>185</v>
      </c>
      <c r="AZ1380" s="65" t="s">
        <v>2556</v>
      </c>
      <c r="BA1380" s="46" t="s">
        <v>2557</v>
      </c>
      <c r="BC1380" s="34">
        <f>AW1380+AX1380</f>
        <v>0</v>
      </c>
      <c r="BD1380" s="34">
        <f>H1380/(100-BE1380)*100</f>
        <v>0</v>
      </c>
      <c r="BE1380" s="34">
        <v>0</v>
      </c>
      <c r="BF1380" s="34">
        <f>1380</f>
        <v>1380</v>
      </c>
      <c r="BH1380" s="34">
        <f>G1380*AO1380</f>
        <v>0</v>
      </c>
      <c r="BI1380" s="34">
        <f>G1380*AP1380</f>
        <v>0</v>
      </c>
      <c r="BJ1380" s="34">
        <f>G1380*H1380</f>
        <v>0</v>
      </c>
      <c r="BK1380" s="34"/>
      <c r="BL1380" s="34">
        <v>17</v>
      </c>
      <c r="BW1380" s="34">
        <v>21</v>
      </c>
      <c r="BX1380" s="3" t="s">
        <v>2597</v>
      </c>
    </row>
    <row r="1381" spans="1:76" x14ac:dyDescent="0.25">
      <c r="A1381" s="66"/>
      <c r="D1381" s="67" t="s">
        <v>2598</v>
      </c>
      <c r="E1381" s="67" t="s">
        <v>4</v>
      </c>
      <c r="G1381" s="68">
        <v>14.72</v>
      </c>
      <c r="K1381" s="59"/>
    </row>
    <row r="1382" spans="1:76" x14ac:dyDescent="0.25">
      <c r="A1382" s="66"/>
      <c r="D1382" s="67" t="s">
        <v>148</v>
      </c>
      <c r="E1382" s="67" t="s">
        <v>4</v>
      </c>
      <c r="G1382" s="68">
        <v>3</v>
      </c>
      <c r="K1382" s="59"/>
    </row>
    <row r="1383" spans="1:76" x14ac:dyDescent="0.25">
      <c r="A1383" s="60" t="s">
        <v>4</v>
      </c>
      <c r="B1383" s="61" t="s">
        <v>93</v>
      </c>
      <c r="C1383" s="61" t="s">
        <v>270</v>
      </c>
      <c r="D1383" s="167" t="s">
        <v>2599</v>
      </c>
      <c r="E1383" s="168"/>
      <c r="F1383" s="62" t="s">
        <v>79</v>
      </c>
      <c r="G1383" s="62" t="s">
        <v>79</v>
      </c>
      <c r="H1383" s="63" t="s">
        <v>79</v>
      </c>
      <c r="I1383" s="39">
        <f>SUM(I1384:I1384)</f>
        <v>0</v>
      </c>
      <c r="J1383" s="46" t="s">
        <v>4</v>
      </c>
      <c r="K1383" s="59"/>
      <c r="AI1383" s="46" t="s">
        <v>93</v>
      </c>
      <c r="AS1383" s="39">
        <f>SUM(AJ1384:AJ1384)</f>
        <v>0</v>
      </c>
      <c r="AT1383" s="39">
        <f>SUM(AK1384:AK1384)</f>
        <v>0</v>
      </c>
      <c r="AU1383" s="39">
        <f>SUM(AL1384:AL1384)</f>
        <v>0</v>
      </c>
    </row>
    <row r="1384" spans="1:76" x14ac:dyDescent="0.25">
      <c r="A1384" s="1" t="s">
        <v>2600</v>
      </c>
      <c r="B1384" s="2" t="s">
        <v>93</v>
      </c>
      <c r="C1384" s="2" t="s">
        <v>2601</v>
      </c>
      <c r="D1384" s="86" t="s">
        <v>2602</v>
      </c>
      <c r="E1384" s="81"/>
      <c r="F1384" s="2" t="s">
        <v>178</v>
      </c>
      <c r="G1384" s="34">
        <v>44.567999999999998</v>
      </c>
      <c r="H1384" s="64">
        <v>0</v>
      </c>
      <c r="I1384" s="34">
        <f>ROUND(G1384*H1384,2)</f>
        <v>0</v>
      </c>
      <c r="J1384" s="65" t="s">
        <v>133</v>
      </c>
      <c r="K1384" s="59"/>
      <c r="Z1384" s="34">
        <f>ROUND(IF(AQ1384="5",BJ1384,0),2)</f>
        <v>0</v>
      </c>
      <c r="AB1384" s="34">
        <f>ROUND(IF(AQ1384="1",BH1384,0),2)</f>
        <v>0</v>
      </c>
      <c r="AC1384" s="34">
        <f>ROUND(IF(AQ1384="1",BI1384,0),2)</f>
        <v>0</v>
      </c>
      <c r="AD1384" s="34">
        <f>ROUND(IF(AQ1384="7",BH1384,0),2)</f>
        <v>0</v>
      </c>
      <c r="AE1384" s="34">
        <f>ROUND(IF(AQ1384="7",BI1384,0),2)</f>
        <v>0</v>
      </c>
      <c r="AF1384" s="34">
        <f>ROUND(IF(AQ1384="2",BH1384,0),2)</f>
        <v>0</v>
      </c>
      <c r="AG1384" s="34">
        <f>ROUND(IF(AQ1384="2",BI1384,0),2)</f>
        <v>0</v>
      </c>
      <c r="AH1384" s="34">
        <f>ROUND(IF(AQ1384="0",BJ1384,0),2)</f>
        <v>0</v>
      </c>
      <c r="AI1384" s="46" t="s">
        <v>93</v>
      </c>
      <c r="AJ1384" s="34">
        <f>IF(AN1384=0,I1384,0)</f>
        <v>0</v>
      </c>
      <c r="AK1384" s="34">
        <f>IF(AN1384=12,I1384,0)</f>
        <v>0</v>
      </c>
      <c r="AL1384" s="34">
        <f>IF(AN1384=21,I1384,0)</f>
        <v>0</v>
      </c>
      <c r="AN1384" s="34">
        <v>21</v>
      </c>
      <c r="AO1384" s="34">
        <f>H1384*0</f>
        <v>0</v>
      </c>
      <c r="AP1384" s="34">
        <f>H1384*(1-0)</f>
        <v>0</v>
      </c>
      <c r="AQ1384" s="65" t="s">
        <v>129</v>
      </c>
      <c r="AV1384" s="34">
        <f>ROUND(AW1384+AX1384,2)</f>
        <v>0</v>
      </c>
      <c r="AW1384" s="34">
        <f>ROUND(G1384*AO1384,2)</f>
        <v>0</v>
      </c>
      <c r="AX1384" s="34">
        <f>ROUND(G1384*AP1384,2)</f>
        <v>0</v>
      </c>
      <c r="AY1384" s="65" t="s">
        <v>2603</v>
      </c>
      <c r="AZ1384" s="65" t="s">
        <v>2556</v>
      </c>
      <c r="BA1384" s="46" t="s">
        <v>2557</v>
      </c>
      <c r="BC1384" s="34">
        <f>AW1384+AX1384</f>
        <v>0</v>
      </c>
      <c r="BD1384" s="34">
        <f>H1384/(100-BE1384)*100</f>
        <v>0</v>
      </c>
      <c r="BE1384" s="34">
        <v>0</v>
      </c>
      <c r="BF1384" s="34">
        <f>1384</f>
        <v>1384</v>
      </c>
      <c r="BH1384" s="34">
        <f>G1384*AO1384</f>
        <v>0</v>
      </c>
      <c r="BI1384" s="34">
        <f>G1384*AP1384</f>
        <v>0</v>
      </c>
      <c r="BJ1384" s="34">
        <f>G1384*H1384</f>
        <v>0</v>
      </c>
      <c r="BK1384" s="34"/>
      <c r="BL1384" s="34">
        <v>19</v>
      </c>
      <c r="BW1384" s="34">
        <v>21</v>
      </c>
      <c r="BX1384" s="3" t="s">
        <v>2602</v>
      </c>
    </row>
    <row r="1385" spans="1:76" x14ac:dyDescent="0.25">
      <c r="A1385" s="66"/>
      <c r="D1385" s="67" t="s">
        <v>2604</v>
      </c>
      <c r="E1385" s="67" t="s">
        <v>4</v>
      </c>
      <c r="G1385" s="68">
        <v>44.567999999999998</v>
      </c>
      <c r="K1385" s="59"/>
    </row>
    <row r="1386" spans="1:76" x14ac:dyDescent="0.25">
      <c r="A1386" s="60" t="s">
        <v>4</v>
      </c>
      <c r="B1386" s="61" t="s">
        <v>93</v>
      </c>
      <c r="C1386" s="61" t="s">
        <v>965</v>
      </c>
      <c r="D1386" s="167" t="s">
        <v>966</v>
      </c>
      <c r="E1386" s="168"/>
      <c r="F1386" s="62" t="s">
        <v>79</v>
      </c>
      <c r="G1386" s="62" t="s">
        <v>79</v>
      </c>
      <c r="H1386" s="63" t="s">
        <v>79</v>
      </c>
      <c r="I1386" s="39">
        <f>SUM(I1387:I1387)</f>
        <v>0</v>
      </c>
      <c r="J1386" s="46" t="s">
        <v>4</v>
      </c>
      <c r="K1386" s="59"/>
      <c r="AI1386" s="46" t="s">
        <v>93</v>
      </c>
      <c r="AS1386" s="39">
        <f>SUM(AJ1387:AJ1387)</f>
        <v>0</v>
      </c>
      <c r="AT1386" s="39">
        <f>SUM(AK1387:AK1387)</f>
        <v>0</v>
      </c>
      <c r="AU1386" s="39">
        <f>SUM(AL1387:AL1387)</f>
        <v>0</v>
      </c>
    </row>
    <row r="1387" spans="1:76" x14ac:dyDescent="0.25">
      <c r="A1387" s="1" t="s">
        <v>2605</v>
      </c>
      <c r="B1387" s="2" t="s">
        <v>93</v>
      </c>
      <c r="C1387" s="2" t="s">
        <v>2606</v>
      </c>
      <c r="D1387" s="86" t="s">
        <v>2607</v>
      </c>
      <c r="E1387" s="81"/>
      <c r="F1387" s="2" t="s">
        <v>258</v>
      </c>
      <c r="G1387" s="34">
        <v>11</v>
      </c>
      <c r="H1387" s="64">
        <v>0</v>
      </c>
      <c r="I1387" s="34">
        <f>ROUND(G1387*H1387,2)</f>
        <v>0</v>
      </c>
      <c r="J1387" s="65" t="s">
        <v>133</v>
      </c>
      <c r="K1387" s="59"/>
      <c r="Z1387" s="34">
        <f>ROUND(IF(AQ1387="5",BJ1387,0),2)</f>
        <v>0</v>
      </c>
      <c r="AB1387" s="34">
        <f>ROUND(IF(AQ1387="1",BH1387,0),2)</f>
        <v>0</v>
      </c>
      <c r="AC1387" s="34">
        <f>ROUND(IF(AQ1387="1",BI1387,0),2)</f>
        <v>0</v>
      </c>
      <c r="AD1387" s="34">
        <f>ROUND(IF(AQ1387="7",BH1387,0),2)</f>
        <v>0</v>
      </c>
      <c r="AE1387" s="34">
        <f>ROUND(IF(AQ1387="7",BI1387,0),2)</f>
        <v>0</v>
      </c>
      <c r="AF1387" s="34">
        <f>ROUND(IF(AQ1387="2",BH1387,0),2)</f>
        <v>0</v>
      </c>
      <c r="AG1387" s="34">
        <f>ROUND(IF(AQ1387="2",BI1387,0),2)</f>
        <v>0</v>
      </c>
      <c r="AH1387" s="34">
        <f>ROUND(IF(AQ1387="0",BJ1387,0),2)</f>
        <v>0</v>
      </c>
      <c r="AI1387" s="46" t="s">
        <v>93</v>
      </c>
      <c r="AJ1387" s="34">
        <f>IF(AN1387=0,I1387,0)</f>
        <v>0</v>
      </c>
      <c r="AK1387" s="34">
        <f>IF(AN1387=12,I1387,0)</f>
        <v>0</v>
      </c>
      <c r="AL1387" s="34">
        <f>IF(AN1387=21,I1387,0)</f>
        <v>0</v>
      </c>
      <c r="AN1387" s="34">
        <v>21</v>
      </c>
      <c r="AO1387" s="34">
        <f>H1387*0.300707678</f>
        <v>0</v>
      </c>
      <c r="AP1387" s="34">
        <f>H1387*(1-0.300707678)</f>
        <v>0</v>
      </c>
      <c r="AQ1387" s="65" t="s">
        <v>175</v>
      </c>
      <c r="AV1387" s="34">
        <f>ROUND(AW1387+AX1387,2)</f>
        <v>0</v>
      </c>
      <c r="AW1387" s="34">
        <f>ROUND(G1387*AO1387,2)</f>
        <v>0</v>
      </c>
      <c r="AX1387" s="34">
        <f>ROUND(G1387*AP1387,2)</f>
        <v>0</v>
      </c>
      <c r="AY1387" s="65" t="s">
        <v>970</v>
      </c>
      <c r="AZ1387" s="65" t="s">
        <v>2608</v>
      </c>
      <c r="BA1387" s="46" t="s">
        <v>2557</v>
      </c>
      <c r="BC1387" s="34">
        <f>AW1387+AX1387</f>
        <v>0</v>
      </c>
      <c r="BD1387" s="34">
        <f>H1387/(100-BE1387)*100</f>
        <v>0</v>
      </c>
      <c r="BE1387" s="34">
        <v>0</v>
      </c>
      <c r="BF1387" s="34">
        <f>1387</f>
        <v>1387</v>
      </c>
      <c r="BH1387" s="34">
        <f>G1387*AO1387</f>
        <v>0</v>
      </c>
      <c r="BI1387" s="34">
        <f>G1387*AP1387</f>
        <v>0</v>
      </c>
      <c r="BJ1387" s="34">
        <f>G1387*H1387</f>
        <v>0</v>
      </c>
      <c r="BK1387" s="34"/>
      <c r="BL1387" s="34">
        <v>713</v>
      </c>
      <c r="BW1387" s="34">
        <v>21</v>
      </c>
      <c r="BX1387" s="3" t="s">
        <v>2607</v>
      </c>
    </row>
    <row r="1388" spans="1:76" x14ac:dyDescent="0.25">
      <c r="A1388" s="66"/>
      <c r="D1388" s="67" t="s">
        <v>161</v>
      </c>
      <c r="E1388" s="67" t="s">
        <v>2609</v>
      </c>
      <c r="G1388" s="68">
        <v>4</v>
      </c>
      <c r="K1388" s="59"/>
    </row>
    <row r="1389" spans="1:76" x14ac:dyDescent="0.25">
      <c r="A1389" s="66"/>
      <c r="D1389" s="67" t="s">
        <v>129</v>
      </c>
      <c r="E1389" s="67" t="s">
        <v>2610</v>
      </c>
      <c r="G1389" s="68">
        <v>1</v>
      </c>
      <c r="K1389" s="59"/>
    </row>
    <row r="1390" spans="1:76" x14ac:dyDescent="0.25">
      <c r="A1390" s="66"/>
      <c r="D1390" s="67" t="s">
        <v>148</v>
      </c>
      <c r="E1390" s="67" t="s">
        <v>2611</v>
      </c>
      <c r="G1390" s="68">
        <v>3</v>
      </c>
      <c r="K1390" s="59"/>
    </row>
    <row r="1391" spans="1:76" x14ac:dyDescent="0.25">
      <c r="A1391" s="66"/>
      <c r="D1391" s="67" t="s">
        <v>148</v>
      </c>
      <c r="E1391" s="67" t="s">
        <v>2612</v>
      </c>
      <c r="G1391" s="68">
        <v>3</v>
      </c>
      <c r="K1391" s="59"/>
    </row>
    <row r="1392" spans="1:76" x14ac:dyDescent="0.25">
      <c r="A1392" s="60" t="s">
        <v>4</v>
      </c>
      <c r="B1392" s="61" t="s">
        <v>93</v>
      </c>
      <c r="C1392" s="61" t="s">
        <v>1052</v>
      </c>
      <c r="D1392" s="167" t="s">
        <v>1053</v>
      </c>
      <c r="E1392" s="168"/>
      <c r="F1392" s="62" t="s">
        <v>79</v>
      </c>
      <c r="G1392" s="62" t="s">
        <v>79</v>
      </c>
      <c r="H1392" s="63" t="s">
        <v>79</v>
      </c>
      <c r="I1392" s="39">
        <f>SUM(I1393:I1444)</f>
        <v>0</v>
      </c>
      <c r="J1392" s="46" t="s">
        <v>4</v>
      </c>
      <c r="K1392" s="59"/>
      <c r="AI1392" s="46" t="s">
        <v>93</v>
      </c>
      <c r="AS1392" s="39">
        <f>SUM(AJ1393:AJ1444)</f>
        <v>0</v>
      </c>
      <c r="AT1392" s="39">
        <f>SUM(AK1393:AK1444)</f>
        <v>0</v>
      </c>
      <c r="AU1392" s="39">
        <f>SUM(AL1393:AL1444)</f>
        <v>0</v>
      </c>
    </row>
    <row r="1393" spans="1:76" x14ac:dyDescent="0.25">
      <c r="A1393" s="1" t="s">
        <v>2613</v>
      </c>
      <c r="B1393" s="2" t="s">
        <v>93</v>
      </c>
      <c r="C1393" s="2" t="s">
        <v>2614</v>
      </c>
      <c r="D1393" s="86" t="s">
        <v>2615</v>
      </c>
      <c r="E1393" s="81"/>
      <c r="F1393" s="2" t="s">
        <v>1190</v>
      </c>
      <c r="G1393" s="34">
        <v>4</v>
      </c>
      <c r="H1393" s="64">
        <v>0</v>
      </c>
      <c r="I1393" s="34">
        <f>ROUND(G1393*H1393,2)</f>
        <v>0</v>
      </c>
      <c r="J1393" s="65" t="s">
        <v>133</v>
      </c>
      <c r="K1393" s="59"/>
      <c r="Z1393" s="34">
        <f>ROUND(IF(AQ1393="5",BJ1393,0),2)</f>
        <v>0</v>
      </c>
      <c r="AB1393" s="34">
        <f>ROUND(IF(AQ1393="1",BH1393,0),2)</f>
        <v>0</v>
      </c>
      <c r="AC1393" s="34">
        <f>ROUND(IF(AQ1393="1",BI1393,0),2)</f>
        <v>0</v>
      </c>
      <c r="AD1393" s="34">
        <f>ROUND(IF(AQ1393="7",BH1393,0),2)</f>
        <v>0</v>
      </c>
      <c r="AE1393" s="34">
        <f>ROUND(IF(AQ1393="7",BI1393,0),2)</f>
        <v>0</v>
      </c>
      <c r="AF1393" s="34">
        <f>ROUND(IF(AQ1393="2",BH1393,0),2)</f>
        <v>0</v>
      </c>
      <c r="AG1393" s="34">
        <f>ROUND(IF(AQ1393="2",BI1393,0),2)</f>
        <v>0</v>
      </c>
      <c r="AH1393" s="34">
        <f>ROUND(IF(AQ1393="0",BJ1393,0),2)</f>
        <v>0</v>
      </c>
      <c r="AI1393" s="46" t="s">
        <v>93</v>
      </c>
      <c r="AJ1393" s="34">
        <f>IF(AN1393=0,I1393,0)</f>
        <v>0</v>
      </c>
      <c r="AK1393" s="34">
        <f>IF(AN1393=12,I1393,0)</f>
        <v>0</v>
      </c>
      <c r="AL1393" s="34">
        <f>IF(AN1393=21,I1393,0)</f>
        <v>0</v>
      </c>
      <c r="AN1393" s="34">
        <v>21</v>
      </c>
      <c r="AO1393" s="34">
        <f>H1393*1</f>
        <v>0</v>
      </c>
      <c r="AP1393" s="34">
        <f>H1393*(1-1)</f>
        <v>0</v>
      </c>
      <c r="AQ1393" s="65" t="s">
        <v>175</v>
      </c>
      <c r="AV1393" s="34">
        <f>ROUND(AW1393+AX1393,2)</f>
        <v>0</v>
      </c>
      <c r="AW1393" s="34">
        <f>ROUND(G1393*AO1393,2)</f>
        <v>0</v>
      </c>
      <c r="AX1393" s="34">
        <f>ROUND(G1393*AP1393,2)</f>
        <v>0</v>
      </c>
      <c r="AY1393" s="65" t="s">
        <v>1057</v>
      </c>
      <c r="AZ1393" s="65" t="s">
        <v>2616</v>
      </c>
      <c r="BA1393" s="46" t="s">
        <v>2557</v>
      </c>
      <c r="BC1393" s="34">
        <f>AW1393+AX1393</f>
        <v>0</v>
      </c>
      <c r="BD1393" s="34">
        <f>H1393/(100-BE1393)*100</f>
        <v>0</v>
      </c>
      <c r="BE1393" s="34">
        <v>0</v>
      </c>
      <c r="BF1393" s="34">
        <f>1393</f>
        <v>1393</v>
      </c>
      <c r="BH1393" s="34">
        <f>G1393*AO1393</f>
        <v>0</v>
      </c>
      <c r="BI1393" s="34">
        <f>G1393*AP1393</f>
        <v>0</v>
      </c>
      <c r="BJ1393" s="34">
        <f>G1393*H1393</f>
        <v>0</v>
      </c>
      <c r="BK1393" s="34"/>
      <c r="BL1393" s="34">
        <v>721</v>
      </c>
      <c r="BW1393" s="34">
        <v>21</v>
      </c>
      <c r="BX1393" s="3" t="s">
        <v>2615</v>
      </c>
    </row>
    <row r="1394" spans="1:76" x14ac:dyDescent="0.25">
      <c r="A1394" s="66"/>
      <c r="D1394" s="67" t="s">
        <v>140</v>
      </c>
      <c r="E1394" s="67" t="s">
        <v>2617</v>
      </c>
      <c r="G1394" s="68">
        <v>2</v>
      </c>
      <c r="K1394" s="59"/>
    </row>
    <row r="1395" spans="1:76" x14ac:dyDescent="0.25">
      <c r="A1395" s="66"/>
      <c r="D1395" s="67" t="s">
        <v>140</v>
      </c>
      <c r="E1395" s="67" t="s">
        <v>2618</v>
      </c>
      <c r="G1395" s="68">
        <v>2</v>
      </c>
      <c r="K1395" s="59"/>
    </row>
    <row r="1396" spans="1:76" x14ac:dyDescent="0.25">
      <c r="A1396" s="1" t="s">
        <v>2619</v>
      </c>
      <c r="B1396" s="2" t="s">
        <v>93</v>
      </c>
      <c r="C1396" s="2" t="s">
        <v>2620</v>
      </c>
      <c r="D1396" s="86" t="s">
        <v>2621</v>
      </c>
      <c r="E1396" s="81"/>
      <c r="F1396" s="2" t="s">
        <v>239</v>
      </c>
      <c r="G1396" s="34">
        <v>67</v>
      </c>
      <c r="H1396" s="64">
        <v>0</v>
      </c>
      <c r="I1396" s="34">
        <f>ROUND(G1396*H1396,2)</f>
        <v>0</v>
      </c>
      <c r="J1396" s="65" t="s">
        <v>133</v>
      </c>
      <c r="K1396" s="59"/>
      <c r="Z1396" s="34">
        <f>ROUND(IF(AQ1396="5",BJ1396,0),2)</f>
        <v>0</v>
      </c>
      <c r="AB1396" s="34">
        <f>ROUND(IF(AQ1396="1",BH1396,0),2)</f>
        <v>0</v>
      </c>
      <c r="AC1396" s="34">
        <f>ROUND(IF(AQ1396="1",BI1396,0),2)</f>
        <v>0</v>
      </c>
      <c r="AD1396" s="34">
        <f>ROUND(IF(AQ1396="7",BH1396,0),2)</f>
        <v>0</v>
      </c>
      <c r="AE1396" s="34">
        <f>ROUND(IF(AQ1396="7",BI1396,0),2)</f>
        <v>0</v>
      </c>
      <c r="AF1396" s="34">
        <f>ROUND(IF(AQ1396="2",BH1396,0),2)</f>
        <v>0</v>
      </c>
      <c r="AG1396" s="34">
        <f>ROUND(IF(AQ1396="2",BI1396,0),2)</f>
        <v>0</v>
      </c>
      <c r="AH1396" s="34">
        <f>ROUND(IF(AQ1396="0",BJ1396,0),2)</f>
        <v>0</v>
      </c>
      <c r="AI1396" s="46" t="s">
        <v>93</v>
      </c>
      <c r="AJ1396" s="34">
        <f>IF(AN1396=0,I1396,0)</f>
        <v>0</v>
      </c>
      <c r="AK1396" s="34">
        <f>IF(AN1396=12,I1396,0)</f>
        <v>0</v>
      </c>
      <c r="AL1396" s="34">
        <f>IF(AN1396=21,I1396,0)</f>
        <v>0</v>
      </c>
      <c r="AN1396" s="34">
        <v>21</v>
      </c>
      <c r="AO1396" s="34">
        <f>H1396*0.372245658</f>
        <v>0</v>
      </c>
      <c r="AP1396" s="34">
        <f>H1396*(1-0.372245658)</f>
        <v>0</v>
      </c>
      <c r="AQ1396" s="65" t="s">
        <v>175</v>
      </c>
      <c r="AV1396" s="34">
        <f>ROUND(AW1396+AX1396,2)</f>
        <v>0</v>
      </c>
      <c r="AW1396" s="34">
        <f>ROUND(G1396*AO1396,2)</f>
        <v>0</v>
      </c>
      <c r="AX1396" s="34">
        <f>ROUND(G1396*AP1396,2)</f>
        <v>0</v>
      </c>
      <c r="AY1396" s="65" t="s">
        <v>1057</v>
      </c>
      <c r="AZ1396" s="65" t="s">
        <v>2616</v>
      </c>
      <c r="BA1396" s="46" t="s">
        <v>2557</v>
      </c>
      <c r="BC1396" s="34">
        <f>AW1396+AX1396</f>
        <v>0</v>
      </c>
      <c r="BD1396" s="34">
        <f>H1396/(100-BE1396)*100</f>
        <v>0</v>
      </c>
      <c r="BE1396" s="34">
        <v>0</v>
      </c>
      <c r="BF1396" s="34">
        <f>1396</f>
        <v>1396</v>
      </c>
      <c r="BH1396" s="34">
        <f>G1396*AO1396</f>
        <v>0</v>
      </c>
      <c r="BI1396" s="34">
        <f>G1396*AP1396</f>
        <v>0</v>
      </c>
      <c r="BJ1396" s="34">
        <f>G1396*H1396</f>
        <v>0</v>
      </c>
      <c r="BK1396" s="34"/>
      <c r="BL1396" s="34">
        <v>721</v>
      </c>
      <c r="BW1396" s="34">
        <v>21</v>
      </c>
      <c r="BX1396" s="3" t="s">
        <v>2621</v>
      </c>
    </row>
    <row r="1397" spans="1:76" x14ac:dyDescent="0.25">
      <c r="A1397" s="66"/>
      <c r="D1397" s="67" t="s">
        <v>617</v>
      </c>
      <c r="E1397" s="67" t="s">
        <v>4</v>
      </c>
      <c r="G1397" s="68">
        <v>67</v>
      </c>
      <c r="K1397" s="59"/>
    </row>
    <row r="1398" spans="1:76" x14ac:dyDescent="0.25">
      <c r="A1398" s="1" t="s">
        <v>2622</v>
      </c>
      <c r="B1398" s="2" t="s">
        <v>93</v>
      </c>
      <c r="C1398" s="2" t="s">
        <v>2623</v>
      </c>
      <c r="D1398" s="86" t="s">
        <v>2624</v>
      </c>
      <c r="E1398" s="81"/>
      <c r="F1398" s="2" t="s">
        <v>239</v>
      </c>
      <c r="G1398" s="34">
        <v>12</v>
      </c>
      <c r="H1398" s="64">
        <v>0</v>
      </c>
      <c r="I1398" s="34">
        <f>ROUND(G1398*H1398,2)</f>
        <v>0</v>
      </c>
      <c r="J1398" s="65" t="s">
        <v>133</v>
      </c>
      <c r="K1398" s="59"/>
      <c r="Z1398" s="34">
        <f>ROUND(IF(AQ1398="5",BJ1398,0),2)</f>
        <v>0</v>
      </c>
      <c r="AB1398" s="34">
        <f>ROUND(IF(AQ1398="1",BH1398,0),2)</f>
        <v>0</v>
      </c>
      <c r="AC1398" s="34">
        <f>ROUND(IF(AQ1398="1",BI1398,0),2)</f>
        <v>0</v>
      </c>
      <c r="AD1398" s="34">
        <f>ROUND(IF(AQ1398="7",BH1398,0),2)</f>
        <v>0</v>
      </c>
      <c r="AE1398" s="34">
        <f>ROUND(IF(AQ1398="7",BI1398,0),2)</f>
        <v>0</v>
      </c>
      <c r="AF1398" s="34">
        <f>ROUND(IF(AQ1398="2",BH1398,0),2)</f>
        <v>0</v>
      </c>
      <c r="AG1398" s="34">
        <f>ROUND(IF(AQ1398="2",BI1398,0),2)</f>
        <v>0</v>
      </c>
      <c r="AH1398" s="34">
        <f>ROUND(IF(AQ1398="0",BJ1398,0),2)</f>
        <v>0</v>
      </c>
      <c r="AI1398" s="46" t="s">
        <v>93</v>
      </c>
      <c r="AJ1398" s="34">
        <f>IF(AN1398=0,I1398,0)</f>
        <v>0</v>
      </c>
      <c r="AK1398" s="34">
        <f>IF(AN1398=12,I1398,0)</f>
        <v>0</v>
      </c>
      <c r="AL1398" s="34">
        <f>IF(AN1398=21,I1398,0)</f>
        <v>0</v>
      </c>
      <c r="AN1398" s="34">
        <v>21</v>
      </c>
      <c r="AO1398" s="34">
        <f>H1398*0.29672973</f>
        <v>0</v>
      </c>
      <c r="AP1398" s="34">
        <f>H1398*(1-0.29672973)</f>
        <v>0</v>
      </c>
      <c r="AQ1398" s="65" t="s">
        <v>175</v>
      </c>
      <c r="AV1398" s="34">
        <f>ROUND(AW1398+AX1398,2)</f>
        <v>0</v>
      </c>
      <c r="AW1398" s="34">
        <f>ROUND(G1398*AO1398,2)</f>
        <v>0</v>
      </c>
      <c r="AX1398" s="34">
        <f>ROUND(G1398*AP1398,2)</f>
        <v>0</v>
      </c>
      <c r="AY1398" s="65" t="s">
        <v>1057</v>
      </c>
      <c r="AZ1398" s="65" t="s">
        <v>2616</v>
      </c>
      <c r="BA1398" s="46" t="s">
        <v>2557</v>
      </c>
      <c r="BC1398" s="34">
        <f>AW1398+AX1398</f>
        <v>0</v>
      </c>
      <c r="BD1398" s="34">
        <f>H1398/(100-BE1398)*100</f>
        <v>0</v>
      </c>
      <c r="BE1398" s="34">
        <v>0</v>
      </c>
      <c r="BF1398" s="34">
        <f>1398</f>
        <v>1398</v>
      </c>
      <c r="BH1398" s="34">
        <f>G1398*AO1398</f>
        <v>0</v>
      </c>
      <c r="BI1398" s="34">
        <f>G1398*AP1398</f>
        <v>0</v>
      </c>
      <c r="BJ1398" s="34">
        <f>G1398*H1398</f>
        <v>0</v>
      </c>
      <c r="BK1398" s="34"/>
      <c r="BL1398" s="34">
        <v>721</v>
      </c>
      <c r="BW1398" s="34">
        <v>21</v>
      </c>
      <c r="BX1398" s="3" t="s">
        <v>2624</v>
      </c>
    </row>
    <row r="1399" spans="1:76" x14ac:dyDescent="0.25">
      <c r="A1399" s="66"/>
      <c r="D1399" s="67" t="s">
        <v>138</v>
      </c>
      <c r="E1399" s="67" t="s">
        <v>4</v>
      </c>
      <c r="G1399" s="68">
        <v>12</v>
      </c>
      <c r="K1399" s="59"/>
    </row>
    <row r="1400" spans="1:76" x14ac:dyDescent="0.25">
      <c r="A1400" s="1" t="s">
        <v>2625</v>
      </c>
      <c r="B1400" s="2" t="s">
        <v>93</v>
      </c>
      <c r="C1400" s="2" t="s">
        <v>2626</v>
      </c>
      <c r="D1400" s="86" t="s">
        <v>2627</v>
      </c>
      <c r="E1400" s="81"/>
      <c r="F1400" s="2" t="s">
        <v>239</v>
      </c>
      <c r="G1400" s="34">
        <v>25</v>
      </c>
      <c r="H1400" s="64">
        <v>0</v>
      </c>
      <c r="I1400" s="34">
        <f>ROUND(G1400*H1400,2)</f>
        <v>0</v>
      </c>
      <c r="J1400" s="65" t="s">
        <v>133</v>
      </c>
      <c r="K1400" s="59"/>
      <c r="Z1400" s="34">
        <f>ROUND(IF(AQ1400="5",BJ1400,0),2)</f>
        <v>0</v>
      </c>
      <c r="AB1400" s="34">
        <f>ROUND(IF(AQ1400="1",BH1400,0),2)</f>
        <v>0</v>
      </c>
      <c r="AC1400" s="34">
        <f>ROUND(IF(AQ1400="1",BI1400,0),2)</f>
        <v>0</v>
      </c>
      <c r="AD1400" s="34">
        <f>ROUND(IF(AQ1400="7",BH1400,0),2)</f>
        <v>0</v>
      </c>
      <c r="AE1400" s="34">
        <f>ROUND(IF(AQ1400="7",BI1400,0),2)</f>
        <v>0</v>
      </c>
      <c r="AF1400" s="34">
        <f>ROUND(IF(AQ1400="2",BH1400,0),2)</f>
        <v>0</v>
      </c>
      <c r="AG1400" s="34">
        <f>ROUND(IF(AQ1400="2",BI1400,0),2)</f>
        <v>0</v>
      </c>
      <c r="AH1400" s="34">
        <f>ROUND(IF(AQ1400="0",BJ1400,0),2)</f>
        <v>0</v>
      </c>
      <c r="AI1400" s="46" t="s">
        <v>93</v>
      </c>
      <c r="AJ1400" s="34">
        <f>IF(AN1400=0,I1400,0)</f>
        <v>0</v>
      </c>
      <c r="AK1400" s="34">
        <f>IF(AN1400=12,I1400,0)</f>
        <v>0</v>
      </c>
      <c r="AL1400" s="34">
        <f>IF(AN1400=21,I1400,0)</f>
        <v>0</v>
      </c>
      <c r="AN1400" s="34">
        <v>21</v>
      </c>
      <c r="AO1400" s="34">
        <f>H1400*0.350889749</f>
        <v>0</v>
      </c>
      <c r="AP1400" s="34">
        <f>H1400*(1-0.350889749)</f>
        <v>0</v>
      </c>
      <c r="AQ1400" s="65" t="s">
        <v>175</v>
      </c>
      <c r="AV1400" s="34">
        <f>ROUND(AW1400+AX1400,2)</f>
        <v>0</v>
      </c>
      <c r="AW1400" s="34">
        <f>ROUND(G1400*AO1400,2)</f>
        <v>0</v>
      </c>
      <c r="AX1400" s="34">
        <f>ROUND(G1400*AP1400,2)</f>
        <v>0</v>
      </c>
      <c r="AY1400" s="65" t="s">
        <v>1057</v>
      </c>
      <c r="AZ1400" s="65" t="s">
        <v>2616</v>
      </c>
      <c r="BA1400" s="46" t="s">
        <v>2557</v>
      </c>
      <c r="BC1400" s="34">
        <f>AW1400+AX1400</f>
        <v>0</v>
      </c>
      <c r="BD1400" s="34">
        <f>H1400/(100-BE1400)*100</f>
        <v>0</v>
      </c>
      <c r="BE1400" s="34">
        <v>0</v>
      </c>
      <c r="BF1400" s="34">
        <f>1400</f>
        <v>1400</v>
      </c>
      <c r="BH1400" s="34">
        <f>G1400*AO1400</f>
        <v>0</v>
      </c>
      <c r="BI1400" s="34">
        <f>G1400*AP1400</f>
        <v>0</v>
      </c>
      <c r="BJ1400" s="34">
        <f>G1400*H1400</f>
        <v>0</v>
      </c>
      <c r="BK1400" s="34"/>
      <c r="BL1400" s="34">
        <v>721</v>
      </c>
      <c r="BW1400" s="34">
        <v>21</v>
      </c>
      <c r="BX1400" s="3" t="s">
        <v>2627</v>
      </c>
    </row>
    <row r="1401" spans="1:76" x14ac:dyDescent="0.25">
      <c r="A1401" s="66"/>
      <c r="D1401" s="67" t="s">
        <v>304</v>
      </c>
      <c r="E1401" s="67" t="s">
        <v>4</v>
      </c>
      <c r="G1401" s="68">
        <v>25</v>
      </c>
      <c r="K1401" s="59"/>
    </row>
    <row r="1402" spans="1:76" x14ac:dyDescent="0.25">
      <c r="A1402" s="1" t="s">
        <v>2628</v>
      </c>
      <c r="B1402" s="2" t="s">
        <v>93</v>
      </c>
      <c r="C1402" s="2" t="s">
        <v>2629</v>
      </c>
      <c r="D1402" s="86" t="s">
        <v>2630</v>
      </c>
      <c r="E1402" s="81"/>
      <c r="F1402" s="2" t="s">
        <v>258</v>
      </c>
      <c r="G1402" s="34">
        <v>4</v>
      </c>
      <c r="H1402" s="64">
        <v>0</v>
      </c>
      <c r="I1402" s="34">
        <f>ROUND(G1402*H1402,2)</f>
        <v>0</v>
      </c>
      <c r="J1402" s="65" t="s">
        <v>133</v>
      </c>
      <c r="K1402" s="59"/>
      <c r="Z1402" s="34">
        <f>ROUND(IF(AQ1402="5",BJ1402,0),2)</f>
        <v>0</v>
      </c>
      <c r="AB1402" s="34">
        <f>ROUND(IF(AQ1402="1",BH1402,0),2)</f>
        <v>0</v>
      </c>
      <c r="AC1402" s="34">
        <f>ROUND(IF(AQ1402="1",BI1402,0),2)</f>
        <v>0</v>
      </c>
      <c r="AD1402" s="34">
        <f>ROUND(IF(AQ1402="7",BH1402,0),2)</f>
        <v>0</v>
      </c>
      <c r="AE1402" s="34">
        <f>ROUND(IF(AQ1402="7",BI1402,0),2)</f>
        <v>0</v>
      </c>
      <c r="AF1402" s="34">
        <f>ROUND(IF(AQ1402="2",BH1402,0),2)</f>
        <v>0</v>
      </c>
      <c r="AG1402" s="34">
        <f>ROUND(IF(AQ1402="2",BI1402,0),2)</f>
        <v>0</v>
      </c>
      <c r="AH1402" s="34">
        <f>ROUND(IF(AQ1402="0",BJ1402,0),2)</f>
        <v>0</v>
      </c>
      <c r="AI1402" s="46" t="s">
        <v>93</v>
      </c>
      <c r="AJ1402" s="34">
        <f>IF(AN1402=0,I1402,0)</f>
        <v>0</v>
      </c>
      <c r="AK1402" s="34">
        <f>IF(AN1402=12,I1402,0)</f>
        <v>0</v>
      </c>
      <c r="AL1402" s="34">
        <f>IF(AN1402=21,I1402,0)</f>
        <v>0</v>
      </c>
      <c r="AN1402" s="34">
        <v>21</v>
      </c>
      <c r="AO1402" s="34">
        <f>H1402*0.809615026</f>
        <v>0</v>
      </c>
      <c r="AP1402" s="34">
        <f>H1402*(1-0.809615026)</f>
        <v>0</v>
      </c>
      <c r="AQ1402" s="65" t="s">
        <v>175</v>
      </c>
      <c r="AV1402" s="34">
        <f>ROUND(AW1402+AX1402,2)</f>
        <v>0</v>
      </c>
      <c r="AW1402" s="34">
        <f>ROUND(G1402*AO1402,2)</f>
        <v>0</v>
      </c>
      <c r="AX1402" s="34">
        <f>ROUND(G1402*AP1402,2)</f>
        <v>0</v>
      </c>
      <c r="AY1402" s="65" t="s">
        <v>1057</v>
      </c>
      <c r="AZ1402" s="65" t="s">
        <v>2616</v>
      </c>
      <c r="BA1402" s="46" t="s">
        <v>2557</v>
      </c>
      <c r="BC1402" s="34">
        <f>AW1402+AX1402</f>
        <v>0</v>
      </c>
      <c r="BD1402" s="34">
        <f>H1402/(100-BE1402)*100</f>
        <v>0</v>
      </c>
      <c r="BE1402" s="34">
        <v>0</v>
      </c>
      <c r="BF1402" s="34">
        <f>1402</f>
        <v>1402</v>
      </c>
      <c r="BH1402" s="34">
        <f>G1402*AO1402</f>
        <v>0</v>
      </c>
      <c r="BI1402" s="34">
        <f>G1402*AP1402</f>
        <v>0</v>
      </c>
      <c r="BJ1402" s="34">
        <f>G1402*H1402</f>
        <v>0</v>
      </c>
      <c r="BK1402" s="34"/>
      <c r="BL1402" s="34">
        <v>721</v>
      </c>
      <c r="BW1402" s="34">
        <v>21</v>
      </c>
      <c r="BX1402" s="3" t="s">
        <v>2630</v>
      </c>
    </row>
    <row r="1403" spans="1:76" ht="13.5" customHeight="1" x14ac:dyDescent="0.25">
      <c r="A1403" s="66"/>
      <c r="C1403" s="69" t="s">
        <v>204</v>
      </c>
      <c r="D1403" s="169" t="s">
        <v>2631</v>
      </c>
      <c r="E1403" s="170"/>
      <c r="F1403" s="170"/>
      <c r="G1403" s="170"/>
      <c r="H1403" s="171"/>
      <c r="I1403" s="170"/>
      <c r="J1403" s="170"/>
      <c r="K1403" s="172"/>
    </row>
    <row r="1404" spans="1:76" x14ac:dyDescent="0.25">
      <c r="A1404" s="66"/>
      <c r="D1404" s="67" t="s">
        <v>161</v>
      </c>
      <c r="E1404" s="67" t="s">
        <v>4</v>
      </c>
      <c r="G1404" s="68">
        <v>4</v>
      </c>
      <c r="K1404" s="59"/>
    </row>
    <row r="1405" spans="1:76" x14ac:dyDescent="0.25">
      <c r="A1405" s="1" t="s">
        <v>2632</v>
      </c>
      <c r="B1405" s="2" t="s">
        <v>93</v>
      </c>
      <c r="C1405" s="2" t="s">
        <v>2633</v>
      </c>
      <c r="D1405" s="86" t="s">
        <v>2630</v>
      </c>
      <c r="E1405" s="81"/>
      <c r="F1405" s="2" t="s">
        <v>258</v>
      </c>
      <c r="G1405" s="34">
        <v>2</v>
      </c>
      <c r="H1405" s="64">
        <v>0</v>
      </c>
      <c r="I1405" s="34">
        <f>ROUND(G1405*H1405,2)</f>
        <v>0</v>
      </c>
      <c r="J1405" s="65" t="s">
        <v>133</v>
      </c>
      <c r="K1405" s="59"/>
      <c r="Z1405" s="34">
        <f>ROUND(IF(AQ1405="5",BJ1405,0),2)</f>
        <v>0</v>
      </c>
      <c r="AB1405" s="34">
        <f>ROUND(IF(AQ1405="1",BH1405,0),2)</f>
        <v>0</v>
      </c>
      <c r="AC1405" s="34">
        <f>ROUND(IF(AQ1405="1",BI1405,0),2)</f>
        <v>0</v>
      </c>
      <c r="AD1405" s="34">
        <f>ROUND(IF(AQ1405="7",BH1405,0),2)</f>
        <v>0</v>
      </c>
      <c r="AE1405" s="34">
        <f>ROUND(IF(AQ1405="7",BI1405,0),2)</f>
        <v>0</v>
      </c>
      <c r="AF1405" s="34">
        <f>ROUND(IF(AQ1405="2",BH1405,0),2)</f>
        <v>0</v>
      </c>
      <c r="AG1405" s="34">
        <f>ROUND(IF(AQ1405="2",BI1405,0),2)</f>
        <v>0</v>
      </c>
      <c r="AH1405" s="34">
        <f>ROUND(IF(AQ1405="0",BJ1405,0),2)</f>
        <v>0</v>
      </c>
      <c r="AI1405" s="46" t="s">
        <v>93</v>
      </c>
      <c r="AJ1405" s="34">
        <f>IF(AN1405=0,I1405,0)</f>
        <v>0</v>
      </c>
      <c r="AK1405" s="34">
        <f>IF(AN1405=12,I1405,0)</f>
        <v>0</v>
      </c>
      <c r="AL1405" s="34">
        <f>IF(AN1405=21,I1405,0)</f>
        <v>0</v>
      </c>
      <c r="AN1405" s="34">
        <v>21</v>
      </c>
      <c r="AO1405" s="34">
        <f>H1405*0.826644245</f>
        <v>0</v>
      </c>
      <c r="AP1405" s="34">
        <f>H1405*(1-0.826644245)</f>
        <v>0</v>
      </c>
      <c r="AQ1405" s="65" t="s">
        <v>175</v>
      </c>
      <c r="AV1405" s="34">
        <f>ROUND(AW1405+AX1405,2)</f>
        <v>0</v>
      </c>
      <c r="AW1405" s="34">
        <f>ROUND(G1405*AO1405,2)</f>
        <v>0</v>
      </c>
      <c r="AX1405" s="34">
        <f>ROUND(G1405*AP1405,2)</f>
        <v>0</v>
      </c>
      <c r="AY1405" s="65" t="s">
        <v>1057</v>
      </c>
      <c r="AZ1405" s="65" t="s">
        <v>2616</v>
      </c>
      <c r="BA1405" s="46" t="s">
        <v>2557</v>
      </c>
      <c r="BC1405" s="34">
        <f>AW1405+AX1405</f>
        <v>0</v>
      </c>
      <c r="BD1405" s="34">
        <f>H1405/(100-BE1405)*100</f>
        <v>0</v>
      </c>
      <c r="BE1405" s="34">
        <v>0</v>
      </c>
      <c r="BF1405" s="34">
        <f>1405</f>
        <v>1405</v>
      </c>
      <c r="BH1405" s="34">
        <f>G1405*AO1405</f>
        <v>0</v>
      </c>
      <c r="BI1405" s="34">
        <f>G1405*AP1405</f>
        <v>0</v>
      </c>
      <c r="BJ1405" s="34">
        <f>G1405*H1405</f>
        <v>0</v>
      </c>
      <c r="BK1405" s="34"/>
      <c r="BL1405" s="34">
        <v>721</v>
      </c>
      <c r="BW1405" s="34">
        <v>21</v>
      </c>
      <c r="BX1405" s="3" t="s">
        <v>2630</v>
      </c>
    </row>
    <row r="1406" spans="1:76" ht="13.5" customHeight="1" x14ac:dyDescent="0.25">
      <c r="A1406" s="66"/>
      <c r="C1406" s="69" t="s">
        <v>204</v>
      </c>
      <c r="D1406" s="169" t="s">
        <v>2634</v>
      </c>
      <c r="E1406" s="170"/>
      <c r="F1406" s="170"/>
      <c r="G1406" s="170"/>
      <c r="H1406" s="171"/>
      <c r="I1406" s="170"/>
      <c r="J1406" s="170"/>
      <c r="K1406" s="172"/>
    </row>
    <row r="1407" spans="1:76" x14ac:dyDescent="0.25">
      <c r="A1407" s="66"/>
      <c r="D1407" s="67" t="s">
        <v>140</v>
      </c>
      <c r="E1407" s="67" t="s">
        <v>4</v>
      </c>
      <c r="G1407" s="68">
        <v>2</v>
      </c>
      <c r="K1407" s="59"/>
    </row>
    <row r="1408" spans="1:76" x14ac:dyDescent="0.25">
      <c r="A1408" s="1" t="s">
        <v>2635</v>
      </c>
      <c r="B1408" s="2" t="s">
        <v>93</v>
      </c>
      <c r="C1408" s="2" t="s">
        <v>2636</v>
      </c>
      <c r="D1408" s="86" t="s">
        <v>2637</v>
      </c>
      <c r="E1408" s="81"/>
      <c r="F1408" s="2" t="s">
        <v>239</v>
      </c>
      <c r="G1408" s="34">
        <v>48</v>
      </c>
      <c r="H1408" s="64">
        <v>0</v>
      </c>
      <c r="I1408" s="34">
        <f>ROUND(G1408*H1408,2)</f>
        <v>0</v>
      </c>
      <c r="J1408" s="65" t="s">
        <v>133</v>
      </c>
      <c r="K1408" s="59"/>
      <c r="Z1408" s="34">
        <f>ROUND(IF(AQ1408="5",BJ1408,0),2)</f>
        <v>0</v>
      </c>
      <c r="AB1408" s="34">
        <f>ROUND(IF(AQ1408="1",BH1408,0),2)</f>
        <v>0</v>
      </c>
      <c r="AC1408" s="34">
        <f>ROUND(IF(AQ1408="1",BI1408,0),2)</f>
        <v>0</v>
      </c>
      <c r="AD1408" s="34">
        <f>ROUND(IF(AQ1408="7",BH1408,0),2)</f>
        <v>0</v>
      </c>
      <c r="AE1408" s="34">
        <f>ROUND(IF(AQ1408="7",BI1408,0),2)</f>
        <v>0</v>
      </c>
      <c r="AF1408" s="34">
        <f>ROUND(IF(AQ1408="2",BH1408,0),2)</f>
        <v>0</v>
      </c>
      <c r="AG1408" s="34">
        <f>ROUND(IF(AQ1408="2",BI1408,0),2)</f>
        <v>0</v>
      </c>
      <c r="AH1408" s="34">
        <f>ROUND(IF(AQ1408="0",BJ1408,0),2)</f>
        <v>0</v>
      </c>
      <c r="AI1408" s="46" t="s">
        <v>93</v>
      </c>
      <c r="AJ1408" s="34">
        <f>IF(AN1408=0,I1408,0)</f>
        <v>0</v>
      </c>
      <c r="AK1408" s="34">
        <f>IF(AN1408=12,I1408,0)</f>
        <v>0</v>
      </c>
      <c r="AL1408" s="34">
        <f>IF(AN1408=21,I1408,0)</f>
        <v>0</v>
      </c>
      <c r="AN1408" s="34">
        <v>21</v>
      </c>
      <c r="AO1408" s="34">
        <f>H1408*0.373246592</f>
        <v>0</v>
      </c>
      <c r="AP1408" s="34">
        <f>H1408*(1-0.373246592)</f>
        <v>0</v>
      </c>
      <c r="AQ1408" s="65" t="s">
        <v>175</v>
      </c>
      <c r="AV1408" s="34">
        <f>ROUND(AW1408+AX1408,2)</f>
        <v>0</v>
      </c>
      <c r="AW1408" s="34">
        <f>ROUND(G1408*AO1408,2)</f>
        <v>0</v>
      </c>
      <c r="AX1408" s="34">
        <f>ROUND(G1408*AP1408,2)</f>
        <v>0</v>
      </c>
      <c r="AY1408" s="65" t="s">
        <v>1057</v>
      </c>
      <c r="AZ1408" s="65" t="s">
        <v>2616</v>
      </c>
      <c r="BA1408" s="46" t="s">
        <v>2557</v>
      </c>
      <c r="BC1408" s="34">
        <f>AW1408+AX1408</f>
        <v>0</v>
      </c>
      <c r="BD1408" s="34">
        <f>H1408/(100-BE1408)*100</f>
        <v>0</v>
      </c>
      <c r="BE1408" s="34">
        <v>0</v>
      </c>
      <c r="BF1408" s="34">
        <f>1408</f>
        <v>1408</v>
      </c>
      <c r="BH1408" s="34">
        <f>G1408*AO1408</f>
        <v>0</v>
      </c>
      <c r="BI1408" s="34">
        <f>G1408*AP1408</f>
        <v>0</v>
      </c>
      <c r="BJ1408" s="34">
        <f>G1408*H1408</f>
        <v>0</v>
      </c>
      <c r="BK1408" s="34"/>
      <c r="BL1408" s="34">
        <v>721</v>
      </c>
      <c r="BW1408" s="34">
        <v>21</v>
      </c>
      <c r="BX1408" s="3" t="s">
        <v>2637</v>
      </c>
    </row>
    <row r="1409" spans="1:76" x14ac:dyDescent="0.25">
      <c r="A1409" s="66"/>
      <c r="D1409" s="67" t="s">
        <v>488</v>
      </c>
      <c r="E1409" s="67" t="s">
        <v>4</v>
      </c>
      <c r="G1409" s="68">
        <v>48</v>
      </c>
      <c r="K1409" s="59"/>
    </row>
    <row r="1410" spans="1:76" x14ac:dyDescent="0.25">
      <c r="A1410" s="1" t="s">
        <v>2638</v>
      </c>
      <c r="B1410" s="2" t="s">
        <v>93</v>
      </c>
      <c r="C1410" s="2" t="s">
        <v>2639</v>
      </c>
      <c r="D1410" s="86" t="s">
        <v>2640</v>
      </c>
      <c r="E1410" s="81"/>
      <c r="F1410" s="2" t="s">
        <v>239</v>
      </c>
      <c r="G1410" s="34">
        <v>16</v>
      </c>
      <c r="H1410" s="64">
        <v>0</v>
      </c>
      <c r="I1410" s="34">
        <f>ROUND(G1410*H1410,2)</f>
        <v>0</v>
      </c>
      <c r="J1410" s="65" t="s">
        <v>133</v>
      </c>
      <c r="K1410" s="59"/>
      <c r="Z1410" s="34">
        <f>ROUND(IF(AQ1410="5",BJ1410,0),2)</f>
        <v>0</v>
      </c>
      <c r="AB1410" s="34">
        <f>ROUND(IF(AQ1410="1",BH1410,0),2)</f>
        <v>0</v>
      </c>
      <c r="AC1410" s="34">
        <f>ROUND(IF(AQ1410="1",BI1410,0),2)</f>
        <v>0</v>
      </c>
      <c r="AD1410" s="34">
        <f>ROUND(IF(AQ1410="7",BH1410,0),2)</f>
        <v>0</v>
      </c>
      <c r="AE1410" s="34">
        <f>ROUND(IF(AQ1410="7",BI1410,0),2)</f>
        <v>0</v>
      </c>
      <c r="AF1410" s="34">
        <f>ROUND(IF(AQ1410="2",BH1410,0),2)</f>
        <v>0</v>
      </c>
      <c r="AG1410" s="34">
        <f>ROUND(IF(AQ1410="2",BI1410,0),2)</f>
        <v>0</v>
      </c>
      <c r="AH1410" s="34">
        <f>ROUND(IF(AQ1410="0",BJ1410,0),2)</f>
        <v>0</v>
      </c>
      <c r="AI1410" s="46" t="s">
        <v>93</v>
      </c>
      <c r="AJ1410" s="34">
        <f>IF(AN1410=0,I1410,0)</f>
        <v>0</v>
      </c>
      <c r="AK1410" s="34">
        <f>IF(AN1410=12,I1410,0)</f>
        <v>0</v>
      </c>
      <c r="AL1410" s="34">
        <f>IF(AN1410=21,I1410,0)</f>
        <v>0</v>
      </c>
      <c r="AN1410" s="34">
        <v>21</v>
      </c>
      <c r="AO1410" s="34">
        <f>H1410*0.288317757</f>
        <v>0</v>
      </c>
      <c r="AP1410" s="34">
        <f>H1410*(1-0.288317757)</f>
        <v>0</v>
      </c>
      <c r="AQ1410" s="65" t="s">
        <v>175</v>
      </c>
      <c r="AV1410" s="34">
        <f>ROUND(AW1410+AX1410,2)</f>
        <v>0</v>
      </c>
      <c r="AW1410" s="34">
        <f>ROUND(G1410*AO1410,2)</f>
        <v>0</v>
      </c>
      <c r="AX1410" s="34">
        <f>ROUND(G1410*AP1410,2)</f>
        <v>0</v>
      </c>
      <c r="AY1410" s="65" t="s">
        <v>1057</v>
      </c>
      <c r="AZ1410" s="65" t="s">
        <v>2616</v>
      </c>
      <c r="BA1410" s="46" t="s">
        <v>2557</v>
      </c>
      <c r="BC1410" s="34">
        <f>AW1410+AX1410</f>
        <v>0</v>
      </c>
      <c r="BD1410" s="34">
        <f>H1410/(100-BE1410)*100</f>
        <v>0</v>
      </c>
      <c r="BE1410" s="34">
        <v>0</v>
      </c>
      <c r="BF1410" s="34">
        <f>1410</f>
        <v>1410</v>
      </c>
      <c r="BH1410" s="34">
        <f>G1410*AO1410</f>
        <v>0</v>
      </c>
      <c r="BI1410" s="34">
        <f>G1410*AP1410</f>
        <v>0</v>
      </c>
      <c r="BJ1410" s="34">
        <f>G1410*H1410</f>
        <v>0</v>
      </c>
      <c r="BK1410" s="34"/>
      <c r="BL1410" s="34">
        <v>721</v>
      </c>
      <c r="BW1410" s="34">
        <v>21</v>
      </c>
      <c r="BX1410" s="3" t="s">
        <v>2640</v>
      </c>
    </row>
    <row r="1411" spans="1:76" ht="13.5" customHeight="1" x14ac:dyDescent="0.25">
      <c r="A1411" s="66"/>
      <c r="C1411" s="69" t="s">
        <v>204</v>
      </c>
      <c r="D1411" s="169" t="s">
        <v>2641</v>
      </c>
      <c r="E1411" s="170"/>
      <c r="F1411" s="170"/>
      <c r="G1411" s="170"/>
      <c r="H1411" s="171"/>
      <c r="I1411" s="170"/>
      <c r="J1411" s="170"/>
      <c r="K1411" s="172"/>
    </row>
    <row r="1412" spans="1:76" x14ac:dyDescent="0.25">
      <c r="A1412" s="66"/>
      <c r="D1412" s="67" t="s">
        <v>2642</v>
      </c>
      <c r="E1412" s="67" t="s">
        <v>4</v>
      </c>
      <c r="G1412" s="68">
        <v>16</v>
      </c>
      <c r="K1412" s="59"/>
    </row>
    <row r="1413" spans="1:76" x14ac:dyDescent="0.25">
      <c r="A1413" s="1" t="s">
        <v>2643</v>
      </c>
      <c r="B1413" s="2" t="s">
        <v>93</v>
      </c>
      <c r="C1413" s="2" t="s">
        <v>2644</v>
      </c>
      <c r="D1413" s="86" t="s">
        <v>2645</v>
      </c>
      <c r="E1413" s="81"/>
      <c r="F1413" s="2" t="s">
        <v>239</v>
      </c>
      <c r="G1413" s="34">
        <v>12</v>
      </c>
      <c r="H1413" s="64">
        <v>0</v>
      </c>
      <c r="I1413" s="34">
        <f>ROUND(G1413*H1413,2)</f>
        <v>0</v>
      </c>
      <c r="J1413" s="65" t="s">
        <v>133</v>
      </c>
      <c r="K1413" s="59"/>
      <c r="Z1413" s="34">
        <f>ROUND(IF(AQ1413="5",BJ1413,0),2)</f>
        <v>0</v>
      </c>
      <c r="AB1413" s="34">
        <f>ROUND(IF(AQ1413="1",BH1413,0),2)</f>
        <v>0</v>
      </c>
      <c r="AC1413" s="34">
        <f>ROUND(IF(AQ1413="1",BI1413,0),2)</f>
        <v>0</v>
      </c>
      <c r="AD1413" s="34">
        <f>ROUND(IF(AQ1413="7",BH1413,0),2)</f>
        <v>0</v>
      </c>
      <c r="AE1413" s="34">
        <f>ROUND(IF(AQ1413="7",BI1413,0),2)</f>
        <v>0</v>
      </c>
      <c r="AF1413" s="34">
        <f>ROUND(IF(AQ1413="2",BH1413,0),2)</f>
        <v>0</v>
      </c>
      <c r="AG1413" s="34">
        <f>ROUND(IF(AQ1413="2",BI1413,0),2)</f>
        <v>0</v>
      </c>
      <c r="AH1413" s="34">
        <f>ROUND(IF(AQ1413="0",BJ1413,0),2)</f>
        <v>0</v>
      </c>
      <c r="AI1413" s="46" t="s">
        <v>93</v>
      </c>
      <c r="AJ1413" s="34">
        <f>IF(AN1413=0,I1413,0)</f>
        <v>0</v>
      </c>
      <c r="AK1413" s="34">
        <f>IF(AN1413=12,I1413,0)</f>
        <v>0</v>
      </c>
      <c r="AL1413" s="34">
        <f>IF(AN1413=21,I1413,0)</f>
        <v>0</v>
      </c>
      <c r="AN1413" s="34">
        <v>21</v>
      </c>
      <c r="AO1413" s="34">
        <f>H1413*0.278442478</f>
        <v>0</v>
      </c>
      <c r="AP1413" s="34">
        <f>H1413*(1-0.278442478)</f>
        <v>0</v>
      </c>
      <c r="AQ1413" s="65" t="s">
        <v>175</v>
      </c>
      <c r="AV1413" s="34">
        <f>ROUND(AW1413+AX1413,2)</f>
        <v>0</v>
      </c>
      <c r="AW1413" s="34">
        <f>ROUND(G1413*AO1413,2)</f>
        <v>0</v>
      </c>
      <c r="AX1413" s="34">
        <f>ROUND(G1413*AP1413,2)</f>
        <v>0</v>
      </c>
      <c r="AY1413" s="65" t="s">
        <v>1057</v>
      </c>
      <c r="AZ1413" s="65" t="s">
        <v>2616</v>
      </c>
      <c r="BA1413" s="46" t="s">
        <v>2557</v>
      </c>
      <c r="BC1413" s="34">
        <f>AW1413+AX1413</f>
        <v>0</v>
      </c>
      <c r="BD1413" s="34">
        <f>H1413/(100-BE1413)*100</f>
        <v>0</v>
      </c>
      <c r="BE1413" s="34">
        <v>0</v>
      </c>
      <c r="BF1413" s="34">
        <f>1413</f>
        <v>1413</v>
      </c>
      <c r="BH1413" s="34">
        <f>G1413*AO1413</f>
        <v>0</v>
      </c>
      <c r="BI1413" s="34">
        <f>G1413*AP1413</f>
        <v>0</v>
      </c>
      <c r="BJ1413" s="34">
        <f>G1413*H1413</f>
        <v>0</v>
      </c>
      <c r="BK1413" s="34"/>
      <c r="BL1413" s="34">
        <v>721</v>
      </c>
      <c r="BW1413" s="34">
        <v>21</v>
      </c>
      <c r="BX1413" s="3" t="s">
        <v>2645</v>
      </c>
    </row>
    <row r="1414" spans="1:76" x14ac:dyDescent="0.25">
      <c r="A1414" s="66"/>
      <c r="D1414" s="67" t="s">
        <v>138</v>
      </c>
      <c r="E1414" s="67" t="s">
        <v>4</v>
      </c>
      <c r="G1414" s="68">
        <v>12</v>
      </c>
      <c r="K1414" s="59"/>
    </row>
    <row r="1415" spans="1:76" x14ac:dyDescent="0.25">
      <c r="A1415" s="1" t="s">
        <v>2646</v>
      </c>
      <c r="B1415" s="2" t="s">
        <v>93</v>
      </c>
      <c r="C1415" s="2" t="s">
        <v>2647</v>
      </c>
      <c r="D1415" s="86" t="s">
        <v>2648</v>
      </c>
      <c r="E1415" s="81"/>
      <c r="F1415" s="2" t="s">
        <v>239</v>
      </c>
      <c r="G1415" s="34">
        <v>7</v>
      </c>
      <c r="H1415" s="64">
        <v>0</v>
      </c>
      <c r="I1415" s="34">
        <f>ROUND(G1415*H1415,2)</f>
        <v>0</v>
      </c>
      <c r="J1415" s="65" t="s">
        <v>133</v>
      </c>
      <c r="K1415" s="59"/>
      <c r="Z1415" s="34">
        <f>ROUND(IF(AQ1415="5",BJ1415,0),2)</f>
        <v>0</v>
      </c>
      <c r="AB1415" s="34">
        <f>ROUND(IF(AQ1415="1",BH1415,0),2)</f>
        <v>0</v>
      </c>
      <c r="AC1415" s="34">
        <f>ROUND(IF(AQ1415="1",BI1415,0),2)</f>
        <v>0</v>
      </c>
      <c r="AD1415" s="34">
        <f>ROUND(IF(AQ1415="7",BH1415,0),2)</f>
        <v>0</v>
      </c>
      <c r="AE1415" s="34">
        <f>ROUND(IF(AQ1415="7",BI1415,0),2)</f>
        <v>0</v>
      </c>
      <c r="AF1415" s="34">
        <f>ROUND(IF(AQ1415="2",BH1415,0),2)</f>
        <v>0</v>
      </c>
      <c r="AG1415" s="34">
        <f>ROUND(IF(AQ1415="2",BI1415,0),2)</f>
        <v>0</v>
      </c>
      <c r="AH1415" s="34">
        <f>ROUND(IF(AQ1415="0",BJ1415,0),2)</f>
        <v>0</v>
      </c>
      <c r="AI1415" s="46" t="s">
        <v>93</v>
      </c>
      <c r="AJ1415" s="34">
        <f>IF(AN1415=0,I1415,0)</f>
        <v>0</v>
      </c>
      <c r="AK1415" s="34">
        <f>IF(AN1415=12,I1415,0)</f>
        <v>0</v>
      </c>
      <c r="AL1415" s="34">
        <f>IF(AN1415=21,I1415,0)</f>
        <v>0</v>
      </c>
      <c r="AN1415" s="34">
        <v>21</v>
      </c>
      <c r="AO1415" s="34">
        <f>H1415*0.328580858</f>
        <v>0</v>
      </c>
      <c r="AP1415" s="34">
        <f>H1415*(1-0.328580858)</f>
        <v>0</v>
      </c>
      <c r="AQ1415" s="65" t="s">
        <v>175</v>
      </c>
      <c r="AV1415" s="34">
        <f>ROUND(AW1415+AX1415,2)</f>
        <v>0</v>
      </c>
      <c r="AW1415" s="34">
        <f>ROUND(G1415*AO1415,2)</f>
        <v>0</v>
      </c>
      <c r="AX1415" s="34">
        <f>ROUND(G1415*AP1415,2)</f>
        <v>0</v>
      </c>
      <c r="AY1415" s="65" t="s">
        <v>1057</v>
      </c>
      <c r="AZ1415" s="65" t="s">
        <v>2616</v>
      </c>
      <c r="BA1415" s="46" t="s">
        <v>2557</v>
      </c>
      <c r="BC1415" s="34">
        <f>AW1415+AX1415</f>
        <v>0</v>
      </c>
      <c r="BD1415" s="34">
        <f>H1415/(100-BE1415)*100</f>
        <v>0</v>
      </c>
      <c r="BE1415" s="34">
        <v>0</v>
      </c>
      <c r="BF1415" s="34">
        <f>1415</f>
        <v>1415</v>
      </c>
      <c r="BH1415" s="34">
        <f>G1415*AO1415</f>
        <v>0</v>
      </c>
      <c r="BI1415" s="34">
        <f>G1415*AP1415</f>
        <v>0</v>
      </c>
      <c r="BJ1415" s="34">
        <f>G1415*H1415</f>
        <v>0</v>
      </c>
      <c r="BK1415" s="34"/>
      <c r="BL1415" s="34">
        <v>721</v>
      </c>
      <c r="BW1415" s="34">
        <v>21</v>
      </c>
      <c r="BX1415" s="3" t="s">
        <v>2648</v>
      </c>
    </row>
    <row r="1416" spans="1:76" ht="13.5" customHeight="1" x14ac:dyDescent="0.25">
      <c r="A1416" s="66"/>
      <c r="C1416" s="69" t="s">
        <v>204</v>
      </c>
      <c r="D1416" s="169" t="s">
        <v>2649</v>
      </c>
      <c r="E1416" s="170"/>
      <c r="F1416" s="170"/>
      <c r="G1416" s="170"/>
      <c r="H1416" s="171"/>
      <c r="I1416" s="170"/>
      <c r="J1416" s="170"/>
      <c r="K1416" s="172"/>
    </row>
    <row r="1417" spans="1:76" x14ac:dyDescent="0.25">
      <c r="A1417" s="66"/>
      <c r="D1417" s="67" t="s">
        <v>2650</v>
      </c>
      <c r="E1417" s="67" t="s">
        <v>4</v>
      </c>
      <c r="G1417" s="68">
        <v>7</v>
      </c>
      <c r="K1417" s="59"/>
    </row>
    <row r="1418" spans="1:76" x14ac:dyDescent="0.25">
      <c r="A1418" s="1" t="s">
        <v>2651</v>
      </c>
      <c r="B1418" s="2" t="s">
        <v>93</v>
      </c>
      <c r="C1418" s="2" t="s">
        <v>2652</v>
      </c>
      <c r="D1418" s="86" t="s">
        <v>2653</v>
      </c>
      <c r="E1418" s="81"/>
      <c r="F1418" s="2" t="s">
        <v>239</v>
      </c>
      <c r="G1418" s="34">
        <v>12</v>
      </c>
      <c r="H1418" s="64">
        <v>0</v>
      </c>
      <c r="I1418" s="34">
        <f>ROUND(G1418*H1418,2)</f>
        <v>0</v>
      </c>
      <c r="J1418" s="65" t="s">
        <v>133</v>
      </c>
      <c r="K1418" s="59"/>
      <c r="Z1418" s="34">
        <f>ROUND(IF(AQ1418="5",BJ1418,0),2)</f>
        <v>0</v>
      </c>
      <c r="AB1418" s="34">
        <f>ROUND(IF(AQ1418="1",BH1418,0),2)</f>
        <v>0</v>
      </c>
      <c r="AC1418" s="34">
        <f>ROUND(IF(AQ1418="1",BI1418,0),2)</f>
        <v>0</v>
      </c>
      <c r="AD1418" s="34">
        <f>ROUND(IF(AQ1418="7",BH1418,0),2)</f>
        <v>0</v>
      </c>
      <c r="AE1418" s="34">
        <f>ROUND(IF(AQ1418="7",BI1418,0),2)</f>
        <v>0</v>
      </c>
      <c r="AF1418" s="34">
        <f>ROUND(IF(AQ1418="2",BH1418,0),2)</f>
        <v>0</v>
      </c>
      <c r="AG1418" s="34">
        <f>ROUND(IF(AQ1418="2",BI1418,0),2)</f>
        <v>0</v>
      </c>
      <c r="AH1418" s="34">
        <f>ROUND(IF(AQ1418="0",BJ1418,0),2)</f>
        <v>0</v>
      </c>
      <c r="AI1418" s="46" t="s">
        <v>93</v>
      </c>
      <c r="AJ1418" s="34">
        <f>IF(AN1418=0,I1418,0)</f>
        <v>0</v>
      </c>
      <c r="AK1418" s="34">
        <f>IF(AN1418=12,I1418,0)</f>
        <v>0</v>
      </c>
      <c r="AL1418" s="34">
        <f>IF(AN1418=21,I1418,0)</f>
        <v>0</v>
      </c>
      <c r="AN1418" s="34">
        <v>21</v>
      </c>
      <c r="AO1418" s="34">
        <f>H1418*0.369389313</f>
        <v>0</v>
      </c>
      <c r="AP1418" s="34">
        <f>H1418*(1-0.369389313)</f>
        <v>0</v>
      </c>
      <c r="AQ1418" s="65" t="s">
        <v>175</v>
      </c>
      <c r="AV1418" s="34">
        <f>ROUND(AW1418+AX1418,2)</f>
        <v>0</v>
      </c>
      <c r="AW1418" s="34">
        <f>ROUND(G1418*AO1418,2)</f>
        <v>0</v>
      </c>
      <c r="AX1418" s="34">
        <f>ROUND(G1418*AP1418,2)</f>
        <v>0</v>
      </c>
      <c r="AY1418" s="65" t="s">
        <v>1057</v>
      </c>
      <c r="AZ1418" s="65" t="s">
        <v>2616</v>
      </c>
      <c r="BA1418" s="46" t="s">
        <v>2557</v>
      </c>
      <c r="BC1418" s="34">
        <f>AW1418+AX1418</f>
        <v>0</v>
      </c>
      <c r="BD1418" s="34">
        <f>H1418/(100-BE1418)*100</f>
        <v>0</v>
      </c>
      <c r="BE1418" s="34">
        <v>0</v>
      </c>
      <c r="BF1418" s="34">
        <f>1418</f>
        <v>1418</v>
      </c>
      <c r="BH1418" s="34">
        <f>G1418*AO1418</f>
        <v>0</v>
      </c>
      <c r="BI1418" s="34">
        <f>G1418*AP1418</f>
        <v>0</v>
      </c>
      <c r="BJ1418" s="34">
        <f>G1418*H1418</f>
        <v>0</v>
      </c>
      <c r="BK1418" s="34"/>
      <c r="BL1418" s="34">
        <v>721</v>
      </c>
      <c r="BW1418" s="34">
        <v>21</v>
      </c>
      <c r="BX1418" s="3" t="s">
        <v>2653</v>
      </c>
    </row>
    <row r="1419" spans="1:76" x14ac:dyDescent="0.25">
      <c r="A1419" s="66"/>
      <c r="D1419" s="67" t="s">
        <v>138</v>
      </c>
      <c r="E1419" s="67" t="s">
        <v>4</v>
      </c>
      <c r="G1419" s="68">
        <v>12</v>
      </c>
      <c r="K1419" s="59"/>
    </row>
    <row r="1420" spans="1:76" x14ac:dyDescent="0.25">
      <c r="A1420" s="1" t="s">
        <v>2654</v>
      </c>
      <c r="B1420" s="2" t="s">
        <v>93</v>
      </c>
      <c r="C1420" s="2" t="s">
        <v>2655</v>
      </c>
      <c r="D1420" s="86" t="s">
        <v>2656</v>
      </c>
      <c r="E1420" s="81"/>
      <c r="F1420" s="2" t="s">
        <v>239</v>
      </c>
      <c r="G1420" s="34">
        <v>262</v>
      </c>
      <c r="H1420" s="64">
        <v>0</v>
      </c>
      <c r="I1420" s="34">
        <f>ROUND(G1420*H1420,2)</f>
        <v>0</v>
      </c>
      <c r="J1420" s="65" t="s">
        <v>133</v>
      </c>
      <c r="K1420" s="59"/>
      <c r="Z1420" s="34">
        <f>ROUND(IF(AQ1420="5",BJ1420,0),2)</f>
        <v>0</v>
      </c>
      <c r="AB1420" s="34">
        <f>ROUND(IF(AQ1420="1",BH1420,0),2)</f>
        <v>0</v>
      </c>
      <c r="AC1420" s="34">
        <f>ROUND(IF(AQ1420="1",BI1420,0),2)</f>
        <v>0</v>
      </c>
      <c r="AD1420" s="34">
        <f>ROUND(IF(AQ1420="7",BH1420,0),2)</f>
        <v>0</v>
      </c>
      <c r="AE1420" s="34">
        <f>ROUND(IF(AQ1420="7",BI1420,0),2)</f>
        <v>0</v>
      </c>
      <c r="AF1420" s="34">
        <f>ROUND(IF(AQ1420="2",BH1420,0),2)</f>
        <v>0</v>
      </c>
      <c r="AG1420" s="34">
        <f>ROUND(IF(AQ1420="2",BI1420,0),2)</f>
        <v>0</v>
      </c>
      <c r="AH1420" s="34">
        <f>ROUND(IF(AQ1420="0",BJ1420,0),2)</f>
        <v>0</v>
      </c>
      <c r="AI1420" s="46" t="s">
        <v>93</v>
      </c>
      <c r="AJ1420" s="34">
        <f>IF(AN1420=0,I1420,0)</f>
        <v>0</v>
      </c>
      <c r="AK1420" s="34">
        <f>IF(AN1420=12,I1420,0)</f>
        <v>0</v>
      </c>
      <c r="AL1420" s="34">
        <f>IF(AN1420=21,I1420,0)</f>
        <v>0</v>
      </c>
      <c r="AN1420" s="34">
        <v>21</v>
      </c>
      <c r="AO1420" s="34">
        <f>H1420*0.029749104</f>
        <v>0</v>
      </c>
      <c r="AP1420" s="34">
        <f>H1420*(1-0.029749104)</f>
        <v>0</v>
      </c>
      <c r="AQ1420" s="65" t="s">
        <v>175</v>
      </c>
      <c r="AV1420" s="34">
        <f>ROUND(AW1420+AX1420,2)</f>
        <v>0</v>
      </c>
      <c r="AW1420" s="34">
        <f>ROUND(G1420*AO1420,2)</f>
        <v>0</v>
      </c>
      <c r="AX1420" s="34">
        <f>ROUND(G1420*AP1420,2)</f>
        <v>0</v>
      </c>
      <c r="AY1420" s="65" t="s">
        <v>1057</v>
      </c>
      <c r="AZ1420" s="65" t="s">
        <v>2616</v>
      </c>
      <c r="BA1420" s="46" t="s">
        <v>2557</v>
      </c>
      <c r="BC1420" s="34">
        <f>AW1420+AX1420</f>
        <v>0</v>
      </c>
      <c r="BD1420" s="34">
        <f>H1420/(100-BE1420)*100</f>
        <v>0</v>
      </c>
      <c r="BE1420" s="34">
        <v>0</v>
      </c>
      <c r="BF1420" s="34">
        <f>1420</f>
        <v>1420</v>
      </c>
      <c r="BH1420" s="34">
        <f>G1420*AO1420</f>
        <v>0</v>
      </c>
      <c r="BI1420" s="34">
        <f>G1420*AP1420</f>
        <v>0</v>
      </c>
      <c r="BJ1420" s="34">
        <f>G1420*H1420</f>
        <v>0</v>
      </c>
      <c r="BK1420" s="34"/>
      <c r="BL1420" s="34">
        <v>721</v>
      </c>
      <c r="BW1420" s="34">
        <v>21</v>
      </c>
      <c r="BX1420" s="3" t="s">
        <v>2656</v>
      </c>
    </row>
    <row r="1421" spans="1:76" x14ac:dyDescent="0.25">
      <c r="A1421" s="66"/>
      <c r="D1421" s="67" t="s">
        <v>1679</v>
      </c>
      <c r="E1421" s="67" t="s">
        <v>4</v>
      </c>
      <c r="G1421" s="68">
        <v>262</v>
      </c>
      <c r="K1421" s="59"/>
    </row>
    <row r="1422" spans="1:76" x14ac:dyDescent="0.25">
      <c r="A1422" s="1" t="s">
        <v>2657</v>
      </c>
      <c r="B1422" s="2" t="s">
        <v>93</v>
      </c>
      <c r="C1422" s="2" t="s">
        <v>2658</v>
      </c>
      <c r="D1422" s="86" t="s">
        <v>2659</v>
      </c>
      <c r="E1422" s="81"/>
      <c r="F1422" s="2" t="s">
        <v>258</v>
      </c>
      <c r="G1422" s="34">
        <v>19</v>
      </c>
      <c r="H1422" s="64">
        <v>0</v>
      </c>
      <c r="I1422" s="34">
        <f>ROUND(G1422*H1422,2)</f>
        <v>0</v>
      </c>
      <c r="J1422" s="65" t="s">
        <v>133</v>
      </c>
      <c r="K1422" s="59"/>
      <c r="Z1422" s="34">
        <f>ROUND(IF(AQ1422="5",BJ1422,0),2)</f>
        <v>0</v>
      </c>
      <c r="AB1422" s="34">
        <f>ROUND(IF(AQ1422="1",BH1422,0),2)</f>
        <v>0</v>
      </c>
      <c r="AC1422" s="34">
        <f>ROUND(IF(AQ1422="1",BI1422,0),2)</f>
        <v>0</v>
      </c>
      <c r="AD1422" s="34">
        <f>ROUND(IF(AQ1422="7",BH1422,0),2)</f>
        <v>0</v>
      </c>
      <c r="AE1422" s="34">
        <f>ROUND(IF(AQ1422="7",BI1422,0),2)</f>
        <v>0</v>
      </c>
      <c r="AF1422" s="34">
        <f>ROUND(IF(AQ1422="2",BH1422,0),2)</f>
        <v>0</v>
      </c>
      <c r="AG1422" s="34">
        <f>ROUND(IF(AQ1422="2",BI1422,0),2)</f>
        <v>0</v>
      </c>
      <c r="AH1422" s="34">
        <f>ROUND(IF(AQ1422="0",BJ1422,0),2)</f>
        <v>0</v>
      </c>
      <c r="AI1422" s="46" t="s">
        <v>93</v>
      </c>
      <c r="AJ1422" s="34">
        <f>IF(AN1422=0,I1422,0)</f>
        <v>0</v>
      </c>
      <c r="AK1422" s="34">
        <f>IF(AN1422=12,I1422,0)</f>
        <v>0</v>
      </c>
      <c r="AL1422" s="34">
        <f>IF(AN1422=21,I1422,0)</f>
        <v>0</v>
      </c>
      <c r="AN1422" s="34">
        <v>21</v>
      </c>
      <c r="AO1422" s="34">
        <f>H1422*0</f>
        <v>0</v>
      </c>
      <c r="AP1422" s="34">
        <f>H1422*(1-0)</f>
        <v>0</v>
      </c>
      <c r="AQ1422" s="65" t="s">
        <v>175</v>
      </c>
      <c r="AV1422" s="34">
        <f>ROUND(AW1422+AX1422,2)</f>
        <v>0</v>
      </c>
      <c r="AW1422" s="34">
        <f>ROUND(G1422*AO1422,2)</f>
        <v>0</v>
      </c>
      <c r="AX1422" s="34">
        <f>ROUND(G1422*AP1422,2)</f>
        <v>0</v>
      </c>
      <c r="AY1422" s="65" t="s">
        <v>1057</v>
      </c>
      <c r="AZ1422" s="65" t="s">
        <v>2616</v>
      </c>
      <c r="BA1422" s="46" t="s">
        <v>2557</v>
      </c>
      <c r="BC1422" s="34">
        <f>AW1422+AX1422</f>
        <v>0</v>
      </c>
      <c r="BD1422" s="34">
        <f>H1422/(100-BE1422)*100</f>
        <v>0</v>
      </c>
      <c r="BE1422" s="34">
        <v>0</v>
      </c>
      <c r="BF1422" s="34">
        <f>1422</f>
        <v>1422</v>
      </c>
      <c r="BH1422" s="34">
        <f>G1422*AO1422</f>
        <v>0</v>
      </c>
      <c r="BI1422" s="34">
        <f>G1422*AP1422</f>
        <v>0</v>
      </c>
      <c r="BJ1422" s="34">
        <f>G1422*H1422</f>
        <v>0</v>
      </c>
      <c r="BK1422" s="34"/>
      <c r="BL1422" s="34">
        <v>721</v>
      </c>
      <c r="BW1422" s="34">
        <v>21</v>
      </c>
      <c r="BX1422" s="3" t="s">
        <v>2659</v>
      </c>
    </row>
    <row r="1423" spans="1:76" x14ac:dyDescent="0.25">
      <c r="A1423" s="66"/>
      <c r="D1423" s="67" t="s">
        <v>270</v>
      </c>
      <c r="E1423" s="67" t="s">
        <v>4</v>
      </c>
      <c r="G1423" s="68">
        <v>19</v>
      </c>
      <c r="K1423" s="59"/>
    </row>
    <row r="1424" spans="1:76" x14ac:dyDescent="0.25">
      <c r="A1424" s="1" t="s">
        <v>2660</v>
      </c>
      <c r="B1424" s="2" t="s">
        <v>93</v>
      </c>
      <c r="C1424" s="2" t="s">
        <v>2661</v>
      </c>
      <c r="D1424" s="86" t="s">
        <v>2662</v>
      </c>
      <c r="E1424" s="81"/>
      <c r="F1424" s="2" t="s">
        <v>258</v>
      </c>
      <c r="G1424" s="34">
        <v>10</v>
      </c>
      <c r="H1424" s="64">
        <v>0</v>
      </c>
      <c r="I1424" s="34">
        <f>ROUND(G1424*H1424,2)</f>
        <v>0</v>
      </c>
      <c r="J1424" s="65" t="s">
        <v>133</v>
      </c>
      <c r="K1424" s="59"/>
      <c r="Z1424" s="34">
        <f>ROUND(IF(AQ1424="5",BJ1424,0),2)</f>
        <v>0</v>
      </c>
      <c r="AB1424" s="34">
        <f>ROUND(IF(AQ1424="1",BH1424,0),2)</f>
        <v>0</v>
      </c>
      <c r="AC1424" s="34">
        <f>ROUND(IF(AQ1424="1",BI1424,0),2)</f>
        <v>0</v>
      </c>
      <c r="AD1424" s="34">
        <f>ROUND(IF(AQ1424="7",BH1424,0),2)</f>
        <v>0</v>
      </c>
      <c r="AE1424" s="34">
        <f>ROUND(IF(AQ1424="7",BI1424,0),2)</f>
        <v>0</v>
      </c>
      <c r="AF1424" s="34">
        <f>ROUND(IF(AQ1424="2",BH1424,0),2)</f>
        <v>0</v>
      </c>
      <c r="AG1424" s="34">
        <f>ROUND(IF(AQ1424="2",BI1424,0),2)</f>
        <v>0</v>
      </c>
      <c r="AH1424" s="34">
        <f>ROUND(IF(AQ1424="0",BJ1424,0),2)</f>
        <v>0</v>
      </c>
      <c r="AI1424" s="46" t="s">
        <v>93</v>
      </c>
      <c r="AJ1424" s="34">
        <f>IF(AN1424=0,I1424,0)</f>
        <v>0</v>
      </c>
      <c r="AK1424" s="34">
        <f>IF(AN1424=12,I1424,0)</f>
        <v>0</v>
      </c>
      <c r="AL1424" s="34">
        <f>IF(AN1424=21,I1424,0)</f>
        <v>0</v>
      </c>
      <c r="AN1424" s="34">
        <v>21</v>
      </c>
      <c r="AO1424" s="34">
        <f>H1424*0</f>
        <v>0</v>
      </c>
      <c r="AP1424" s="34">
        <f>H1424*(1-0)</f>
        <v>0</v>
      </c>
      <c r="AQ1424" s="65" t="s">
        <v>175</v>
      </c>
      <c r="AV1424" s="34">
        <f>ROUND(AW1424+AX1424,2)</f>
        <v>0</v>
      </c>
      <c r="AW1424" s="34">
        <f>ROUND(G1424*AO1424,2)</f>
        <v>0</v>
      </c>
      <c r="AX1424" s="34">
        <f>ROUND(G1424*AP1424,2)</f>
        <v>0</v>
      </c>
      <c r="AY1424" s="65" t="s">
        <v>1057</v>
      </c>
      <c r="AZ1424" s="65" t="s">
        <v>2616</v>
      </c>
      <c r="BA1424" s="46" t="s">
        <v>2557</v>
      </c>
      <c r="BC1424" s="34">
        <f>AW1424+AX1424</f>
        <v>0</v>
      </c>
      <c r="BD1424" s="34">
        <f>H1424/(100-BE1424)*100</f>
        <v>0</v>
      </c>
      <c r="BE1424" s="34">
        <v>0</v>
      </c>
      <c r="BF1424" s="34">
        <f>1424</f>
        <v>1424</v>
      </c>
      <c r="BH1424" s="34">
        <f>G1424*AO1424</f>
        <v>0</v>
      </c>
      <c r="BI1424" s="34">
        <f>G1424*AP1424</f>
        <v>0</v>
      </c>
      <c r="BJ1424" s="34">
        <f>G1424*H1424</f>
        <v>0</v>
      </c>
      <c r="BK1424" s="34"/>
      <c r="BL1424" s="34">
        <v>721</v>
      </c>
      <c r="BW1424" s="34">
        <v>21</v>
      </c>
      <c r="BX1424" s="3" t="s">
        <v>2662</v>
      </c>
    </row>
    <row r="1425" spans="1:76" x14ac:dyDescent="0.25">
      <c r="A1425" s="66"/>
      <c r="D1425" s="67" t="s">
        <v>198</v>
      </c>
      <c r="E1425" s="67" t="s">
        <v>4</v>
      </c>
      <c r="G1425" s="68">
        <v>10</v>
      </c>
      <c r="K1425" s="59"/>
    </row>
    <row r="1426" spans="1:76" x14ac:dyDescent="0.25">
      <c r="A1426" s="1" t="s">
        <v>2663</v>
      </c>
      <c r="B1426" s="2" t="s">
        <v>93</v>
      </c>
      <c r="C1426" s="2" t="s">
        <v>2664</v>
      </c>
      <c r="D1426" s="86" t="s">
        <v>2665</v>
      </c>
      <c r="E1426" s="81"/>
      <c r="F1426" s="2" t="s">
        <v>258</v>
      </c>
      <c r="G1426" s="34">
        <v>21</v>
      </c>
      <c r="H1426" s="64">
        <v>0</v>
      </c>
      <c r="I1426" s="34">
        <f>ROUND(G1426*H1426,2)</f>
        <v>0</v>
      </c>
      <c r="J1426" s="65" t="s">
        <v>133</v>
      </c>
      <c r="K1426" s="59"/>
      <c r="Z1426" s="34">
        <f>ROUND(IF(AQ1426="5",BJ1426,0),2)</f>
        <v>0</v>
      </c>
      <c r="AB1426" s="34">
        <f>ROUND(IF(AQ1426="1",BH1426,0),2)</f>
        <v>0</v>
      </c>
      <c r="AC1426" s="34">
        <f>ROUND(IF(AQ1426="1",BI1426,0),2)</f>
        <v>0</v>
      </c>
      <c r="AD1426" s="34">
        <f>ROUND(IF(AQ1426="7",BH1426,0),2)</f>
        <v>0</v>
      </c>
      <c r="AE1426" s="34">
        <f>ROUND(IF(AQ1426="7",BI1426,0),2)</f>
        <v>0</v>
      </c>
      <c r="AF1426" s="34">
        <f>ROUND(IF(AQ1426="2",BH1426,0),2)</f>
        <v>0</v>
      </c>
      <c r="AG1426" s="34">
        <f>ROUND(IF(AQ1426="2",BI1426,0),2)</f>
        <v>0</v>
      </c>
      <c r="AH1426" s="34">
        <f>ROUND(IF(AQ1426="0",BJ1426,0),2)</f>
        <v>0</v>
      </c>
      <c r="AI1426" s="46" t="s">
        <v>93</v>
      </c>
      <c r="AJ1426" s="34">
        <f>IF(AN1426=0,I1426,0)</f>
        <v>0</v>
      </c>
      <c r="AK1426" s="34">
        <f>IF(AN1426=12,I1426,0)</f>
        <v>0</v>
      </c>
      <c r="AL1426" s="34">
        <f>IF(AN1426=21,I1426,0)</f>
        <v>0</v>
      </c>
      <c r="AN1426" s="34">
        <v>21</v>
      </c>
      <c r="AO1426" s="34">
        <f>H1426*0</f>
        <v>0</v>
      </c>
      <c r="AP1426" s="34">
        <f>H1426*(1-0)</f>
        <v>0</v>
      </c>
      <c r="AQ1426" s="65" t="s">
        <v>175</v>
      </c>
      <c r="AV1426" s="34">
        <f>ROUND(AW1426+AX1426,2)</f>
        <v>0</v>
      </c>
      <c r="AW1426" s="34">
        <f>ROUND(G1426*AO1426,2)</f>
        <v>0</v>
      </c>
      <c r="AX1426" s="34">
        <f>ROUND(G1426*AP1426,2)</f>
        <v>0</v>
      </c>
      <c r="AY1426" s="65" t="s">
        <v>1057</v>
      </c>
      <c r="AZ1426" s="65" t="s">
        <v>2616</v>
      </c>
      <c r="BA1426" s="46" t="s">
        <v>2557</v>
      </c>
      <c r="BC1426" s="34">
        <f>AW1426+AX1426</f>
        <v>0</v>
      </c>
      <c r="BD1426" s="34">
        <f>H1426/(100-BE1426)*100</f>
        <v>0</v>
      </c>
      <c r="BE1426" s="34">
        <v>0</v>
      </c>
      <c r="BF1426" s="34">
        <f>1426</f>
        <v>1426</v>
      </c>
      <c r="BH1426" s="34">
        <f>G1426*AO1426</f>
        <v>0</v>
      </c>
      <c r="BI1426" s="34">
        <f>G1426*AP1426</f>
        <v>0</v>
      </c>
      <c r="BJ1426" s="34">
        <f>G1426*H1426</f>
        <v>0</v>
      </c>
      <c r="BK1426" s="34"/>
      <c r="BL1426" s="34">
        <v>721</v>
      </c>
      <c r="BW1426" s="34">
        <v>21</v>
      </c>
      <c r="BX1426" s="3" t="s">
        <v>2665</v>
      </c>
    </row>
    <row r="1427" spans="1:76" x14ac:dyDescent="0.25">
      <c r="A1427" s="66"/>
      <c r="D1427" s="67" t="s">
        <v>276</v>
      </c>
      <c r="E1427" s="67" t="s">
        <v>4</v>
      </c>
      <c r="G1427" s="68">
        <v>21</v>
      </c>
      <c r="K1427" s="59"/>
    </row>
    <row r="1428" spans="1:76" x14ac:dyDescent="0.25">
      <c r="A1428" s="1" t="s">
        <v>2666</v>
      </c>
      <c r="B1428" s="2" t="s">
        <v>93</v>
      </c>
      <c r="C1428" s="2" t="s">
        <v>2667</v>
      </c>
      <c r="D1428" s="86" t="s">
        <v>2668</v>
      </c>
      <c r="E1428" s="81"/>
      <c r="F1428" s="2" t="s">
        <v>258</v>
      </c>
      <c r="G1428" s="34">
        <v>6</v>
      </c>
      <c r="H1428" s="64">
        <v>0</v>
      </c>
      <c r="I1428" s="34">
        <f>ROUND(G1428*H1428,2)</f>
        <v>0</v>
      </c>
      <c r="J1428" s="65" t="s">
        <v>133</v>
      </c>
      <c r="K1428" s="59"/>
      <c r="Z1428" s="34">
        <f>ROUND(IF(AQ1428="5",BJ1428,0),2)</f>
        <v>0</v>
      </c>
      <c r="AB1428" s="34">
        <f>ROUND(IF(AQ1428="1",BH1428,0),2)</f>
        <v>0</v>
      </c>
      <c r="AC1428" s="34">
        <f>ROUND(IF(AQ1428="1",BI1428,0),2)</f>
        <v>0</v>
      </c>
      <c r="AD1428" s="34">
        <f>ROUND(IF(AQ1428="7",BH1428,0),2)</f>
        <v>0</v>
      </c>
      <c r="AE1428" s="34">
        <f>ROUND(IF(AQ1428="7",BI1428,0),2)</f>
        <v>0</v>
      </c>
      <c r="AF1428" s="34">
        <f>ROUND(IF(AQ1428="2",BH1428,0),2)</f>
        <v>0</v>
      </c>
      <c r="AG1428" s="34">
        <f>ROUND(IF(AQ1428="2",BI1428,0),2)</f>
        <v>0</v>
      </c>
      <c r="AH1428" s="34">
        <f>ROUND(IF(AQ1428="0",BJ1428,0),2)</f>
        <v>0</v>
      </c>
      <c r="AI1428" s="46" t="s">
        <v>93</v>
      </c>
      <c r="AJ1428" s="34">
        <f>IF(AN1428=0,I1428,0)</f>
        <v>0</v>
      </c>
      <c r="AK1428" s="34">
        <f>IF(AN1428=12,I1428,0)</f>
        <v>0</v>
      </c>
      <c r="AL1428" s="34">
        <f>IF(AN1428=21,I1428,0)</f>
        <v>0</v>
      </c>
      <c r="AN1428" s="34">
        <v>21</v>
      </c>
      <c r="AO1428" s="34">
        <f>H1428*0</f>
        <v>0</v>
      </c>
      <c r="AP1428" s="34">
        <f>H1428*(1-0)</f>
        <v>0</v>
      </c>
      <c r="AQ1428" s="65" t="s">
        <v>175</v>
      </c>
      <c r="AV1428" s="34">
        <f>ROUND(AW1428+AX1428,2)</f>
        <v>0</v>
      </c>
      <c r="AW1428" s="34">
        <f>ROUND(G1428*AO1428,2)</f>
        <v>0</v>
      </c>
      <c r="AX1428" s="34">
        <f>ROUND(G1428*AP1428,2)</f>
        <v>0</v>
      </c>
      <c r="AY1428" s="65" t="s">
        <v>1057</v>
      </c>
      <c r="AZ1428" s="65" t="s">
        <v>2616</v>
      </c>
      <c r="BA1428" s="46" t="s">
        <v>2557</v>
      </c>
      <c r="BC1428" s="34">
        <f>AW1428+AX1428</f>
        <v>0</v>
      </c>
      <c r="BD1428" s="34">
        <f>H1428/(100-BE1428)*100</f>
        <v>0</v>
      </c>
      <c r="BE1428" s="34">
        <v>0</v>
      </c>
      <c r="BF1428" s="34">
        <f>1428</f>
        <v>1428</v>
      </c>
      <c r="BH1428" s="34">
        <f>G1428*AO1428</f>
        <v>0</v>
      </c>
      <c r="BI1428" s="34">
        <f>G1428*AP1428</f>
        <v>0</v>
      </c>
      <c r="BJ1428" s="34">
        <f>G1428*H1428</f>
        <v>0</v>
      </c>
      <c r="BK1428" s="34"/>
      <c r="BL1428" s="34">
        <v>721</v>
      </c>
      <c r="BW1428" s="34">
        <v>21</v>
      </c>
      <c r="BX1428" s="3" t="s">
        <v>2668</v>
      </c>
    </row>
    <row r="1429" spans="1:76" x14ac:dyDescent="0.25">
      <c r="A1429" s="66"/>
      <c r="D1429" s="67" t="s">
        <v>171</v>
      </c>
      <c r="E1429" s="67" t="s">
        <v>4</v>
      </c>
      <c r="G1429" s="68">
        <v>6</v>
      </c>
      <c r="K1429" s="59"/>
    </row>
    <row r="1430" spans="1:76" x14ac:dyDescent="0.25">
      <c r="A1430" s="1" t="s">
        <v>2669</v>
      </c>
      <c r="B1430" s="2" t="s">
        <v>93</v>
      </c>
      <c r="C1430" s="2" t="s">
        <v>2670</v>
      </c>
      <c r="D1430" s="86" t="s">
        <v>2671</v>
      </c>
      <c r="E1430" s="81"/>
      <c r="F1430" s="2" t="s">
        <v>258</v>
      </c>
      <c r="G1430" s="34">
        <v>3</v>
      </c>
      <c r="H1430" s="64">
        <v>0</v>
      </c>
      <c r="I1430" s="34">
        <f>ROUND(G1430*H1430,2)</f>
        <v>0</v>
      </c>
      <c r="J1430" s="65" t="s">
        <v>133</v>
      </c>
      <c r="K1430" s="59"/>
      <c r="Z1430" s="34">
        <f>ROUND(IF(AQ1430="5",BJ1430,0),2)</f>
        <v>0</v>
      </c>
      <c r="AB1430" s="34">
        <f>ROUND(IF(AQ1430="1",BH1430,0),2)</f>
        <v>0</v>
      </c>
      <c r="AC1430" s="34">
        <f>ROUND(IF(AQ1430="1",BI1430,0),2)</f>
        <v>0</v>
      </c>
      <c r="AD1430" s="34">
        <f>ROUND(IF(AQ1430="7",BH1430,0),2)</f>
        <v>0</v>
      </c>
      <c r="AE1430" s="34">
        <f>ROUND(IF(AQ1430="7",BI1430,0),2)</f>
        <v>0</v>
      </c>
      <c r="AF1430" s="34">
        <f>ROUND(IF(AQ1430="2",BH1430,0),2)</f>
        <v>0</v>
      </c>
      <c r="AG1430" s="34">
        <f>ROUND(IF(AQ1430="2",BI1430,0),2)</f>
        <v>0</v>
      </c>
      <c r="AH1430" s="34">
        <f>ROUND(IF(AQ1430="0",BJ1430,0),2)</f>
        <v>0</v>
      </c>
      <c r="AI1430" s="46" t="s">
        <v>93</v>
      </c>
      <c r="AJ1430" s="34">
        <f>IF(AN1430=0,I1430,0)</f>
        <v>0</v>
      </c>
      <c r="AK1430" s="34">
        <f>IF(AN1430=12,I1430,0)</f>
        <v>0</v>
      </c>
      <c r="AL1430" s="34">
        <f>IF(AN1430=21,I1430,0)</f>
        <v>0</v>
      </c>
      <c r="AN1430" s="34">
        <v>21</v>
      </c>
      <c r="AO1430" s="34">
        <f>H1430*0.888763804</f>
        <v>0</v>
      </c>
      <c r="AP1430" s="34">
        <f>H1430*(1-0.888763804)</f>
        <v>0</v>
      </c>
      <c r="AQ1430" s="65" t="s">
        <v>175</v>
      </c>
      <c r="AV1430" s="34">
        <f>ROUND(AW1430+AX1430,2)</f>
        <v>0</v>
      </c>
      <c r="AW1430" s="34">
        <f>ROUND(G1430*AO1430,2)</f>
        <v>0</v>
      </c>
      <c r="AX1430" s="34">
        <f>ROUND(G1430*AP1430,2)</f>
        <v>0</v>
      </c>
      <c r="AY1430" s="65" t="s">
        <v>1057</v>
      </c>
      <c r="AZ1430" s="65" t="s">
        <v>2616</v>
      </c>
      <c r="BA1430" s="46" t="s">
        <v>2557</v>
      </c>
      <c r="BC1430" s="34">
        <f>AW1430+AX1430</f>
        <v>0</v>
      </c>
      <c r="BD1430" s="34">
        <f>H1430/(100-BE1430)*100</f>
        <v>0</v>
      </c>
      <c r="BE1430" s="34">
        <v>0</v>
      </c>
      <c r="BF1430" s="34">
        <f>1430</f>
        <v>1430</v>
      </c>
      <c r="BH1430" s="34">
        <f>G1430*AO1430</f>
        <v>0</v>
      </c>
      <c r="BI1430" s="34">
        <f>G1430*AP1430</f>
        <v>0</v>
      </c>
      <c r="BJ1430" s="34">
        <f>G1430*H1430</f>
        <v>0</v>
      </c>
      <c r="BK1430" s="34"/>
      <c r="BL1430" s="34">
        <v>721</v>
      </c>
      <c r="BW1430" s="34">
        <v>21</v>
      </c>
      <c r="BX1430" s="3" t="s">
        <v>2671</v>
      </c>
    </row>
    <row r="1431" spans="1:76" x14ac:dyDescent="0.25">
      <c r="A1431" s="66"/>
      <c r="D1431" s="67" t="s">
        <v>148</v>
      </c>
      <c r="E1431" s="67" t="s">
        <v>4</v>
      </c>
      <c r="G1431" s="68">
        <v>3</v>
      </c>
      <c r="K1431" s="59"/>
    </row>
    <row r="1432" spans="1:76" x14ac:dyDescent="0.25">
      <c r="A1432" s="1" t="s">
        <v>2672</v>
      </c>
      <c r="B1432" s="2" t="s">
        <v>93</v>
      </c>
      <c r="C1432" s="2" t="s">
        <v>2673</v>
      </c>
      <c r="D1432" s="86" t="s">
        <v>2674</v>
      </c>
      <c r="E1432" s="81"/>
      <c r="F1432" s="2" t="s">
        <v>258</v>
      </c>
      <c r="G1432" s="34">
        <v>2</v>
      </c>
      <c r="H1432" s="64">
        <v>0</v>
      </c>
      <c r="I1432" s="34">
        <f>ROUND(G1432*H1432,2)</f>
        <v>0</v>
      </c>
      <c r="J1432" s="65" t="s">
        <v>133</v>
      </c>
      <c r="K1432" s="59"/>
      <c r="Z1432" s="34">
        <f>ROUND(IF(AQ1432="5",BJ1432,0),2)</f>
        <v>0</v>
      </c>
      <c r="AB1432" s="34">
        <f>ROUND(IF(AQ1432="1",BH1432,0),2)</f>
        <v>0</v>
      </c>
      <c r="AC1432" s="34">
        <f>ROUND(IF(AQ1432="1",BI1432,0),2)</f>
        <v>0</v>
      </c>
      <c r="AD1432" s="34">
        <f>ROUND(IF(AQ1432="7",BH1432,0),2)</f>
        <v>0</v>
      </c>
      <c r="AE1432" s="34">
        <f>ROUND(IF(AQ1432="7",BI1432,0),2)</f>
        <v>0</v>
      </c>
      <c r="AF1432" s="34">
        <f>ROUND(IF(AQ1432="2",BH1432,0),2)</f>
        <v>0</v>
      </c>
      <c r="AG1432" s="34">
        <f>ROUND(IF(AQ1432="2",BI1432,0),2)</f>
        <v>0</v>
      </c>
      <c r="AH1432" s="34">
        <f>ROUND(IF(AQ1432="0",BJ1432,0),2)</f>
        <v>0</v>
      </c>
      <c r="AI1432" s="46" t="s">
        <v>93</v>
      </c>
      <c r="AJ1432" s="34">
        <f>IF(AN1432=0,I1432,0)</f>
        <v>0</v>
      </c>
      <c r="AK1432" s="34">
        <f>IF(AN1432=12,I1432,0)</f>
        <v>0</v>
      </c>
      <c r="AL1432" s="34">
        <f>IF(AN1432=21,I1432,0)</f>
        <v>0</v>
      </c>
      <c r="AN1432" s="34">
        <v>21</v>
      </c>
      <c r="AO1432" s="34">
        <f>H1432*0.957565431</f>
        <v>0</v>
      </c>
      <c r="AP1432" s="34">
        <f>H1432*(1-0.957565431)</f>
        <v>0</v>
      </c>
      <c r="AQ1432" s="65" t="s">
        <v>175</v>
      </c>
      <c r="AV1432" s="34">
        <f>ROUND(AW1432+AX1432,2)</f>
        <v>0</v>
      </c>
      <c r="AW1432" s="34">
        <f>ROUND(G1432*AO1432,2)</f>
        <v>0</v>
      </c>
      <c r="AX1432" s="34">
        <f>ROUND(G1432*AP1432,2)</f>
        <v>0</v>
      </c>
      <c r="AY1432" s="65" t="s">
        <v>1057</v>
      </c>
      <c r="AZ1432" s="65" t="s">
        <v>2616</v>
      </c>
      <c r="BA1432" s="46" t="s">
        <v>2557</v>
      </c>
      <c r="BC1432" s="34">
        <f>AW1432+AX1432</f>
        <v>0</v>
      </c>
      <c r="BD1432" s="34">
        <f>H1432/(100-BE1432)*100</f>
        <v>0</v>
      </c>
      <c r="BE1432" s="34">
        <v>0</v>
      </c>
      <c r="BF1432" s="34">
        <f>1432</f>
        <v>1432</v>
      </c>
      <c r="BH1432" s="34">
        <f>G1432*AO1432</f>
        <v>0</v>
      </c>
      <c r="BI1432" s="34">
        <f>G1432*AP1432</f>
        <v>0</v>
      </c>
      <c r="BJ1432" s="34">
        <f>G1432*H1432</f>
        <v>0</v>
      </c>
      <c r="BK1432" s="34"/>
      <c r="BL1432" s="34">
        <v>721</v>
      </c>
      <c r="BW1432" s="34">
        <v>21</v>
      </c>
      <c r="BX1432" s="3" t="s">
        <v>2674</v>
      </c>
    </row>
    <row r="1433" spans="1:76" x14ac:dyDescent="0.25">
      <c r="A1433" s="66"/>
      <c r="D1433" s="67" t="s">
        <v>140</v>
      </c>
      <c r="E1433" s="67" t="s">
        <v>418</v>
      </c>
      <c r="G1433" s="68">
        <v>2</v>
      </c>
      <c r="K1433" s="59"/>
    </row>
    <row r="1434" spans="1:76" x14ac:dyDescent="0.25">
      <c r="A1434" s="1" t="s">
        <v>2675</v>
      </c>
      <c r="B1434" s="2" t="s">
        <v>93</v>
      </c>
      <c r="C1434" s="2" t="s">
        <v>2676</v>
      </c>
      <c r="D1434" s="86" t="s">
        <v>2677</v>
      </c>
      <c r="E1434" s="81"/>
      <c r="F1434" s="2" t="s">
        <v>258</v>
      </c>
      <c r="G1434" s="34">
        <v>6</v>
      </c>
      <c r="H1434" s="64">
        <v>0</v>
      </c>
      <c r="I1434" s="34">
        <f>ROUND(G1434*H1434,2)</f>
        <v>0</v>
      </c>
      <c r="J1434" s="65" t="s">
        <v>133</v>
      </c>
      <c r="K1434" s="59"/>
      <c r="Z1434" s="34">
        <f>ROUND(IF(AQ1434="5",BJ1434,0),2)</f>
        <v>0</v>
      </c>
      <c r="AB1434" s="34">
        <f>ROUND(IF(AQ1434="1",BH1434,0),2)</f>
        <v>0</v>
      </c>
      <c r="AC1434" s="34">
        <f>ROUND(IF(AQ1434="1",BI1434,0),2)</f>
        <v>0</v>
      </c>
      <c r="AD1434" s="34">
        <f>ROUND(IF(AQ1434="7",BH1434,0),2)</f>
        <v>0</v>
      </c>
      <c r="AE1434" s="34">
        <f>ROUND(IF(AQ1434="7",BI1434,0),2)</f>
        <v>0</v>
      </c>
      <c r="AF1434" s="34">
        <f>ROUND(IF(AQ1434="2",BH1434,0),2)</f>
        <v>0</v>
      </c>
      <c r="AG1434" s="34">
        <f>ROUND(IF(AQ1434="2",BI1434,0),2)</f>
        <v>0</v>
      </c>
      <c r="AH1434" s="34">
        <f>ROUND(IF(AQ1434="0",BJ1434,0),2)</f>
        <v>0</v>
      </c>
      <c r="AI1434" s="46" t="s">
        <v>93</v>
      </c>
      <c r="AJ1434" s="34">
        <f>IF(AN1434=0,I1434,0)</f>
        <v>0</v>
      </c>
      <c r="AK1434" s="34">
        <f>IF(AN1434=12,I1434,0)</f>
        <v>0</v>
      </c>
      <c r="AL1434" s="34">
        <f>IF(AN1434=21,I1434,0)</f>
        <v>0</v>
      </c>
      <c r="AN1434" s="34">
        <v>21</v>
      </c>
      <c r="AO1434" s="34">
        <f>H1434*0.958016173</f>
        <v>0</v>
      </c>
      <c r="AP1434" s="34">
        <f>H1434*(1-0.958016173)</f>
        <v>0</v>
      </c>
      <c r="AQ1434" s="65" t="s">
        <v>175</v>
      </c>
      <c r="AV1434" s="34">
        <f>ROUND(AW1434+AX1434,2)</f>
        <v>0</v>
      </c>
      <c r="AW1434" s="34">
        <f>ROUND(G1434*AO1434,2)</f>
        <v>0</v>
      </c>
      <c r="AX1434" s="34">
        <f>ROUND(G1434*AP1434,2)</f>
        <v>0</v>
      </c>
      <c r="AY1434" s="65" t="s">
        <v>1057</v>
      </c>
      <c r="AZ1434" s="65" t="s">
        <v>2616</v>
      </c>
      <c r="BA1434" s="46" t="s">
        <v>2557</v>
      </c>
      <c r="BC1434" s="34">
        <f>AW1434+AX1434</f>
        <v>0</v>
      </c>
      <c r="BD1434" s="34">
        <f>H1434/(100-BE1434)*100</f>
        <v>0</v>
      </c>
      <c r="BE1434" s="34">
        <v>0</v>
      </c>
      <c r="BF1434" s="34">
        <f>1434</f>
        <v>1434</v>
      </c>
      <c r="BH1434" s="34">
        <f>G1434*AO1434</f>
        <v>0</v>
      </c>
      <c r="BI1434" s="34">
        <f>G1434*AP1434</f>
        <v>0</v>
      </c>
      <c r="BJ1434" s="34">
        <f>G1434*H1434</f>
        <v>0</v>
      </c>
      <c r="BK1434" s="34"/>
      <c r="BL1434" s="34">
        <v>721</v>
      </c>
      <c r="BW1434" s="34">
        <v>21</v>
      </c>
      <c r="BX1434" s="3" t="s">
        <v>2677</v>
      </c>
    </row>
    <row r="1435" spans="1:76" x14ac:dyDescent="0.25">
      <c r="A1435" s="66"/>
      <c r="D1435" s="67" t="s">
        <v>171</v>
      </c>
      <c r="E1435" s="67" t="s">
        <v>418</v>
      </c>
      <c r="G1435" s="68">
        <v>6</v>
      </c>
      <c r="K1435" s="59"/>
    </row>
    <row r="1436" spans="1:76" x14ac:dyDescent="0.25">
      <c r="A1436" s="1" t="s">
        <v>2678</v>
      </c>
      <c r="B1436" s="2" t="s">
        <v>93</v>
      </c>
      <c r="C1436" s="2" t="s">
        <v>2679</v>
      </c>
      <c r="D1436" s="86" t="s">
        <v>2680</v>
      </c>
      <c r="E1436" s="81"/>
      <c r="F1436" s="2" t="s">
        <v>258</v>
      </c>
      <c r="G1436" s="34">
        <v>15</v>
      </c>
      <c r="H1436" s="64">
        <v>0</v>
      </c>
      <c r="I1436" s="34">
        <f>ROUND(G1436*H1436,2)</f>
        <v>0</v>
      </c>
      <c r="J1436" s="65" t="s">
        <v>133</v>
      </c>
      <c r="K1436" s="59"/>
      <c r="Z1436" s="34">
        <f>ROUND(IF(AQ1436="5",BJ1436,0),2)</f>
        <v>0</v>
      </c>
      <c r="AB1436" s="34">
        <f>ROUND(IF(AQ1436="1",BH1436,0),2)</f>
        <v>0</v>
      </c>
      <c r="AC1436" s="34">
        <f>ROUND(IF(AQ1436="1",BI1436,0),2)</f>
        <v>0</v>
      </c>
      <c r="AD1436" s="34">
        <f>ROUND(IF(AQ1436="7",BH1436,0),2)</f>
        <v>0</v>
      </c>
      <c r="AE1436" s="34">
        <f>ROUND(IF(AQ1436="7",BI1436,0),2)</f>
        <v>0</v>
      </c>
      <c r="AF1436" s="34">
        <f>ROUND(IF(AQ1436="2",BH1436,0),2)</f>
        <v>0</v>
      </c>
      <c r="AG1436" s="34">
        <f>ROUND(IF(AQ1436="2",BI1436,0),2)</f>
        <v>0</v>
      </c>
      <c r="AH1436" s="34">
        <f>ROUND(IF(AQ1436="0",BJ1436,0),2)</f>
        <v>0</v>
      </c>
      <c r="AI1436" s="46" t="s">
        <v>93</v>
      </c>
      <c r="AJ1436" s="34">
        <f>IF(AN1436=0,I1436,0)</f>
        <v>0</v>
      </c>
      <c r="AK1436" s="34">
        <f>IF(AN1436=12,I1436,0)</f>
        <v>0</v>
      </c>
      <c r="AL1436" s="34">
        <f>IF(AN1436=21,I1436,0)</f>
        <v>0</v>
      </c>
      <c r="AN1436" s="34">
        <v>21</v>
      </c>
      <c r="AO1436" s="34">
        <f>H1436*0.958850054</f>
        <v>0</v>
      </c>
      <c r="AP1436" s="34">
        <f>H1436*(1-0.958850054)</f>
        <v>0</v>
      </c>
      <c r="AQ1436" s="65" t="s">
        <v>175</v>
      </c>
      <c r="AV1436" s="34">
        <f>ROUND(AW1436+AX1436,2)</f>
        <v>0</v>
      </c>
      <c r="AW1436" s="34">
        <f>ROUND(G1436*AO1436,2)</f>
        <v>0</v>
      </c>
      <c r="AX1436" s="34">
        <f>ROUND(G1436*AP1436,2)</f>
        <v>0</v>
      </c>
      <c r="AY1436" s="65" t="s">
        <v>1057</v>
      </c>
      <c r="AZ1436" s="65" t="s">
        <v>2616</v>
      </c>
      <c r="BA1436" s="46" t="s">
        <v>2557</v>
      </c>
      <c r="BC1436" s="34">
        <f>AW1436+AX1436</f>
        <v>0</v>
      </c>
      <c r="BD1436" s="34">
        <f>H1436/(100-BE1436)*100</f>
        <v>0</v>
      </c>
      <c r="BE1436" s="34">
        <v>0</v>
      </c>
      <c r="BF1436" s="34">
        <f>1436</f>
        <v>1436</v>
      </c>
      <c r="BH1436" s="34">
        <f>G1436*AO1436</f>
        <v>0</v>
      </c>
      <c r="BI1436" s="34">
        <f>G1436*AP1436</f>
        <v>0</v>
      </c>
      <c r="BJ1436" s="34">
        <f>G1436*H1436</f>
        <v>0</v>
      </c>
      <c r="BK1436" s="34"/>
      <c r="BL1436" s="34">
        <v>721</v>
      </c>
      <c r="BW1436" s="34">
        <v>21</v>
      </c>
      <c r="BX1436" s="3" t="s">
        <v>2680</v>
      </c>
    </row>
    <row r="1437" spans="1:76" x14ac:dyDescent="0.25">
      <c r="A1437" s="66"/>
      <c r="D1437" s="67" t="s">
        <v>236</v>
      </c>
      <c r="E1437" s="67" t="s">
        <v>418</v>
      </c>
      <c r="G1437" s="68">
        <v>15</v>
      </c>
      <c r="K1437" s="59"/>
    </row>
    <row r="1438" spans="1:76" x14ac:dyDescent="0.25">
      <c r="A1438" s="1" t="s">
        <v>2681</v>
      </c>
      <c r="B1438" s="2" t="s">
        <v>93</v>
      </c>
      <c r="C1438" s="2" t="s">
        <v>2682</v>
      </c>
      <c r="D1438" s="86" t="s">
        <v>2683</v>
      </c>
      <c r="E1438" s="81"/>
      <c r="F1438" s="2" t="s">
        <v>258</v>
      </c>
      <c r="G1438" s="34">
        <v>2</v>
      </c>
      <c r="H1438" s="64">
        <v>0</v>
      </c>
      <c r="I1438" s="34">
        <f>ROUND(G1438*H1438,2)</f>
        <v>0</v>
      </c>
      <c r="J1438" s="65" t="s">
        <v>133</v>
      </c>
      <c r="K1438" s="59"/>
      <c r="Z1438" s="34">
        <f>ROUND(IF(AQ1438="5",BJ1438,0),2)</f>
        <v>0</v>
      </c>
      <c r="AB1438" s="34">
        <f>ROUND(IF(AQ1438="1",BH1438,0),2)</f>
        <v>0</v>
      </c>
      <c r="AC1438" s="34">
        <f>ROUND(IF(AQ1438="1",BI1438,0),2)</f>
        <v>0</v>
      </c>
      <c r="AD1438" s="34">
        <f>ROUND(IF(AQ1438="7",BH1438,0),2)</f>
        <v>0</v>
      </c>
      <c r="AE1438" s="34">
        <f>ROUND(IF(AQ1438="7",BI1438,0),2)</f>
        <v>0</v>
      </c>
      <c r="AF1438" s="34">
        <f>ROUND(IF(AQ1438="2",BH1438,0),2)</f>
        <v>0</v>
      </c>
      <c r="AG1438" s="34">
        <f>ROUND(IF(AQ1438="2",BI1438,0),2)</f>
        <v>0</v>
      </c>
      <c r="AH1438" s="34">
        <f>ROUND(IF(AQ1438="0",BJ1438,0),2)</f>
        <v>0</v>
      </c>
      <c r="AI1438" s="46" t="s">
        <v>93</v>
      </c>
      <c r="AJ1438" s="34">
        <f>IF(AN1438=0,I1438,0)</f>
        <v>0</v>
      </c>
      <c r="AK1438" s="34">
        <f>IF(AN1438=12,I1438,0)</f>
        <v>0</v>
      </c>
      <c r="AL1438" s="34">
        <f>IF(AN1438=21,I1438,0)</f>
        <v>0</v>
      </c>
      <c r="AN1438" s="34">
        <v>21</v>
      </c>
      <c r="AO1438" s="34">
        <f>H1438*0.765914831</f>
        <v>0</v>
      </c>
      <c r="AP1438" s="34">
        <f>H1438*(1-0.765914831)</f>
        <v>0</v>
      </c>
      <c r="AQ1438" s="65" t="s">
        <v>175</v>
      </c>
      <c r="AV1438" s="34">
        <f>ROUND(AW1438+AX1438,2)</f>
        <v>0</v>
      </c>
      <c r="AW1438" s="34">
        <f>ROUND(G1438*AO1438,2)</f>
        <v>0</v>
      </c>
      <c r="AX1438" s="34">
        <f>ROUND(G1438*AP1438,2)</f>
        <v>0</v>
      </c>
      <c r="AY1438" s="65" t="s">
        <v>1057</v>
      </c>
      <c r="AZ1438" s="65" t="s">
        <v>2616</v>
      </c>
      <c r="BA1438" s="46" t="s">
        <v>2557</v>
      </c>
      <c r="BC1438" s="34">
        <f>AW1438+AX1438</f>
        <v>0</v>
      </c>
      <c r="BD1438" s="34">
        <f>H1438/(100-BE1438)*100</f>
        <v>0</v>
      </c>
      <c r="BE1438" s="34">
        <v>0</v>
      </c>
      <c r="BF1438" s="34">
        <f>1438</f>
        <v>1438</v>
      </c>
      <c r="BH1438" s="34">
        <f>G1438*AO1438</f>
        <v>0</v>
      </c>
      <c r="BI1438" s="34">
        <f>G1438*AP1438</f>
        <v>0</v>
      </c>
      <c r="BJ1438" s="34">
        <f>G1438*H1438</f>
        <v>0</v>
      </c>
      <c r="BK1438" s="34"/>
      <c r="BL1438" s="34">
        <v>721</v>
      </c>
      <c r="BW1438" s="34">
        <v>21</v>
      </c>
      <c r="BX1438" s="3" t="s">
        <v>2683</v>
      </c>
    </row>
    <row r="1439" spans="1:76" x14ac:dyDescent="0.25">
      <c r="A1439" s="66"/>
      <c r="D1439" s="67" t="s">
        <v>140</v>
      </c>
      <c r="E1439" s="67" t="s">
        <v>4</v>
      </c>
      <c r="G1439" s="68">
        <v>2</v>
      </c>
      <c r="K1439" s="59"/>
    </row>
    <row r="1440" spans="1:76" x14ac:dyDescent="0.25">
      <c r="A1440" s="1" t="s">
        <v>2684</v>
      </c>
      <c r="B1440" s="2" t="s">
        <v>93</v>
      </c>
      <c r="C1440" s="2" t="s">
        <v>2685</v>
      </c>
      <c r="D1440" s="86" t="s">
        <v>2686</v>
      </c>
      <c r="E1440" s="81"/>
      <c r="F1440" s="2" t="s">
        <v>1190</v>
      </c>
      <c r="G1440" s="34">
        <v>1</v>
      </c>
      <c r="H1440" s="64">
        <v>0</v>
      </c>
      <c r="I1440" s="34">
        <f>ROUND(G1440*H1440,2)</f>
        <v>0</v>
      </c>
      <c r="J1440" s="65" t="s">
        <v>133</v>
      </c>
      <c r="K1440" s="59"/>
      <c r="Z1440" s="34">
        <f>ROUND(IF(AQ1440="5",BJ1440,0),2)</f>
        <v>0</v>
      </c>
      <c r="AB1440" s="34">
        <f>ROUND(IF(AQ1440="1",BH1440,0),2)</f>
        <v>0</v>
      </c>
      <c r="AC1440" s="34">
        <f>ROUND(IF(AQ1440="1",BI1440,0),2)</f>
        <v>0</v>
      </c>
      <c r="AD1440" s="34">
        <f>ROUND(IF(AQ1440="7",BH1440,0),2)</f>
        <v>0</v>
      </c>
      <c r="AE1440" s="34">
        <f>ROUND(IF(AQ1440="7",BI1440,0),2)</f>
        <v>0</v>
      </c>
      <c r="AF1440" s="34">
        <f>ROUND(IF(AQ1440="2",BH1440,0),2)</f>
        <v>0</v>
      </c>
      <c r="AG1440" s="34">
        <f>ROUND(IF(AQ1440="2",BI1440,0),2)</f>
        <v>0</v>
      </c>
      <c r="AH1440" s="34">
        <f>ROUND(IF(AQ1440="0",BJ1440,0),2)</f>
        <v>0</v>
      </c>
      <c r="AI1440" s="46" t="s">
        <v>93</v>
      </c>
      <c r="AJ1440" s="34">
        <f>IF(AN1440=0,I1440,0)</f>
        <v>0</v>
      </c>
      <c r="AK1440" s="34">
        <f>IF(AN1440=12,I1440,0)</f>
        <v>0</v>
      </c>
      <c r="AL1440" s="34">
        <f>IF(AN1440=21,I1440,0)</f>
        <v>0</v>
      </c>
      <c r="AN1440" s="34">
        <v>21</v>
      </c>
      <c r="AO1440" s="34">
        <f>H1440*1</f>
        <v>0</v>
      </c>
      <c r="AP1440" s="34">
        <f>H1440*(1-1)</f>
        <v>0</v>
      </c>
      <c r="AQ1440" s="65" t="s">
        <v>175</v>
      </c>
      <c r="AV1440" s="34">
        <f>ROUND(AW1440+AX1440,2)</f>
        <v>0</v>
      </c>
      <c r="AW1440" s="34">
        <f>ROUND(G1440*AO1440,2)</f>
        <v>0</v>
      </c>
      <c r="AX1440" s="34">
        <f>ROUND(G1440*AP1440,2)</f>
        <v>0</v>
      </c>
      <c r="AY1440" s="65" t="s">
        <v>1057</v>
      </c>
      <c r="AZ1440" s="65" t="s">
        <v>2616</v>
      </c>
      <c r="BA1440" s="46" t="s">
        <v>2557</v>
      </c>
      <c r="BC1440" s="34">
        <f>AW1440+AX1440</f>
        <v>0</v>
      </c>
      <c r="BD1440" s="34">
        <f>H1440/(100-BE1440)*100</f>
        <v>0</v>
      </c>
      <c r="BE1440" s="34">
        <v>0</v>
      </c>
      <c r="BF1440" s="34">
        <f>1440</f>
        <v>1440</v>
      </c>
      <c r="BH1440" s="34">
        <f>G1440*AO1440</f>
        <v>0</v>
      </c>
      <c r="BI1440" s="34">
        <f>G1440*AP1440</f>
        <v>0</v>
      </c>
      <c r="BJ1440" s="34">
        <f>G1440*H1440</f>
        <v>0</v>
      </c>
      <c r="BK1440" s="34"/>
      <c r="BL1440" s="34">
        <v>721</v>
      </c>
      <c r="BW1440" s="34">
        <v>21</v>
      </c>
      <c r="BX1440" s="3" t="s">
        <v>2686</v>
      </c>
    </row>
    <row r="1441" spans="1:76" x14ac:dyDescent="0.25">
      <c r="A1441" s="66"/>
      <c r="D1441" s="67" t="s">
        <v>129</v>
      </c>
      <c r="E1441" s="67" t="s">
        <v>4</v>
      </c>
      <c r="G1441" s="68">
        <v>1</v>
      </c>
      <c r="K1441" s="59"/>
    </row>
    <row r="1442" spans="1:76" x14ac:dyDescent="0.25">
      <c r="A1442" s="1" t="s">
        <v>2687</v>
      </c>
      <c r="B1442" s="2" t="s">
        <v>93</v>
      </c>
      <c r="C1442" s="2" t="s">
        <v>2688</v>
      </c>
      <c r="D1442" s="86" t="s">
        <v>2689</v>
      </c>
      <c r="E1442" s="81"/>
      <c r="F1442" s="2" t="s">
        <v>1190</v>
      </c>
      <c r="G1442" s="34">
        <v>2</v>
      </c>
      <c r="H1442" s="64">
        <v>0</v>
      </c>
      <c r="I1442" s="34">
        <f>ROUND(G1442*H1442,2)</f>
        <v>0</v>
      </c>
      <c r="J1442" s="65" t="s">
        <v>133</v>
      </c>
      <c r="K1442" s="59"/>
      <c r="Z1442" s="34">
        <f>ROUND(IF(AQ1442="5",BJ1442,0),2)</f>
        <v>0</v>
      </c>
      <c r="AB1442" s="34">
        <f>ROUND(IF(AQ1442="1",BH1442,0),2)</f>
        <v>0</v>
      </c>
      <c r="AC1442" s="34">
        <f>ROUND(IF(AQ1442="1",BI1442,0),2)</f>
        <v>0</v>
      </c>
      <c r="AD1442" s="34">
        <f>ROUND(IF(AQ1442="7",BH1442,0),2)</f>
        <v>0</v>
      </c>
      <c r="AE1442" s="34">
        <f>ROUND(IF(AQ1442="7",BI1442,0),2)</f>
        <v>0</v>
      </c>
      <c r="AF1442" s="34">
        <f>ROUND(IF(AQ1442="2",BH1442,0),2)</f>
        <v>0</v>
      </c>
      <c r="AG1442" s="34">
        <f>ROUND(IF(AQ1442="2",BI1442,0),2)</f>
        <v>0</v>
      </c>
      <c r="AH1442" s="34">
        <f>ROUND(IF(AQ1442="0",BJ1442,0),2)</f>
        <v>0</v>
      </c>
      <c r="AI1442" s="46" t="s">
        <v>93</v>
      </c>
      <c r="AJ1442" s="34">
        <f>IF(AN1442=0,I1442,0)</f>
        <v>0</v>
      </c>
      <c r="AK1442" s="34">
        <f>IF(AN1442=12,I1442,0)</f>
        <v>0</v>
      </c>
      <c r="AL1442" s="34">
        <f>IF(AN1442=21,I1442,0)</f>
        <v>0</v>
      </c>
      <c r="AN1442" s="34">
        <v>21</v>
      </c>
      <c r="AO1442" s="34">
        <f>H1442*1</f>
        <v>0</v>
      </c>
      <c r="AP1442" s="34">
        <f>H1442*(1-1)</f>
        <v>0</v>
      </c>
      <c r="AQ1442" s="65" t="s">
        <v>175</v>
      </c>
      <c r="AV1442" s="34">
        <f>ROUND(AW1442+AX1442,2)</f>
        <v>0</v>
      </c>
      <c r="AW1442" s="34">
        <f>ROUND(G1442*AO1442,2)</f>
        <v>0</v>
      </c>
      <c r="AX1442" s="34">
        <f>ROUND(G1442*AP1442,2)</f>
        <v>0</v>
      </c>
      <c r="AY1442" s="65" t="s">
        <v>1057</v>
      </c>
      <c r="AZ1442" s="65" t="s">
        <v>2616</v>
      </c>
      <c r="BA1442" s="46" t="s">
        <v>2557</v>
      </c>
      <c r="BC1442" s="34">
        <f>AW1442+AX1442</f>
        <v>0</v>
      </c>
      <c r="BD1442" s="34">
        <f>H1442/(100-BE1442)*100</f>
        <v>0</v>
      </c>
      <c r="BE1442" s="34">
        <v>0</v>
      </c>
      <c r="BF1442" s="34">
        <f>1442</f>
        <v>1442</v>
      </c>
      <c r="BH1442" s="34">
        <f>G1442*AO1442</f>
        <v>0</v>
      </c>
      <c r="BI1442" s="34">
        <f>G1442*AP1442</f>
        <v>0</v>
      </c>
      <c r="BJ1442" s="34">
        <f>G1442*H1442</f>
        <v>0</v>
      </c>
      <c r="BK1442" s="34"/>
      <c r="BL1442" s="34">
        <v>721</v>
      </c>
      <c r="BW1442" s="34">
        <v>21</v>
      </c>
      <c r="BX1442" s="3" t="s">
        <v>2689</v>
      </c>
    </row>
    <row r="1443" spans="1:76" x14ac:dyDescent="0.25">
      <c r="A1443" s="66"/>
      <c r="D1443" s="67" t="s">
        <v>140</v>
      </c>
      <c r="E1443" s="67" t="s">
        <v>2690</v>
      </c>
      <c r="G1443" s="68">
        <v>2</v>
      </c>
      <c r="K1443" s="59"/>
    </row>
    <row r="1444" spans="1:76" x14ac:dyDescent="0.25">
      <c r="A1444" s="1" t="s">
        <v>2691</v>
      </c>
      <c r="B1444" s="2" t="s">
        <v>93</v>
      </c>
      <c r="C1444" s="2" t="s">
        <v>2692</v>
      </c>
      <c r="D1444" s="86" t="s">
        <v>2693</v>
      </c>
      <c r="E1444" s="81"/>
      <c r="F1444" s="2" t="s">
        <v>1190</v>
      </c>
      <c r="G1444" s="34">
        <v>4</v>
      </c>
      <c r="H1444" s="64">
        <v>0</v>
      </c>
      <c r="I1444" s="34">
        <f>ROUND(G1444*H1444,2)</f>
        <v>0</v>
      </c>
      <c r="J1444" s="65" t="s">
        <v>133</v>
      </c>
      <c r="K1444" s="59"/>
      <c r="Z1444" s="34">
        <f>ROUND(IF(AQ1444="5",BJ1444,0),2)</f>
        <v>0</v>
      </c>
      <c r="AB1444" s="34">
        <f>ROUND(IF(AQ1444="1",BH1444,0),2)</f>
        <v>0</v>
      </c>
      <c r="AC1444" s="34">
        <f>ROUND(IF(AQ1444="1",BI1444,0),2)</f>
        <v>0</v>
      </c>
      <c r="AD1444" s="34">
        <f>ROUND(IF(AQ1444="7",BH1444,0),2)</f>
        <v>0</v>
      </c>
      <c r="AE1444" s="34">
        <f>ROUND(IF(AQ1444="7",BI1444,0),2)</f>
        <v>0</v>
      </c>
      <c r="AF1444" s="34">
        <f>ROUND(IF(AQ1444="2",BH1444,0),2)</f>
        <v>0</v>
      </c>
      <c r="AG1444" s="34">
        <f>ROUND(IF(AQ1444="2",BI1444,0),2)</f>
        <v>0</v>
      </c>
      <c r="AH1444" s="34">
        <f>ROUND(IF(AQ1444="0",BJ1444,0),2)</f>
        <v>0</v>
      </c>
      <c r="AI1444" s="46" t="s">
        <v>93</v>
      </c>
      <c r="AJ1444" s="34">
        <f>IF(AN1444=0,I1444,0)</f>
        <v>0</v>
      </c>
      <c r="AK1444" s="34">
        <f>IF(AN1444=12,I1444,0)</f>
        <v>0</v>
      </c>
      <c r="AL1444" s="34">
        <f>IF(AN1444=21,I1444,0)</f>
        <v>0</v>
      </c>
      <c r="AN1444" s="34">
        <v>21</v>
      </c>
      <c r="AO1444" s="34">
        <f>H1444*1</f>
        <v>0</v>
      </c>
      <c r="AP1444" s="34">
        <f>H1444*(1-1)</f>
        <v>0</v>
      </c>
      <c r="AQ1444" s="65" t="s">
        <v>175</v>
      </c>
      <c r="AV1444" s="34">
        <f>ROUND(AW1444+AX1444,2)</f>
        <v>0</v>
      </c>
      <c r="AW1444" s="34">
        <f>ROUND(G1444*AO1444,2)</f>
        <v>0</v>
      </c>
      <c r="AX1444" s="34">
        <f>ROUND(G1444*AP1444,2)</f>
        <v>0</v>
      </c>
      <c r="AY1444" s="65" t="s">
        <v>1057</v>
      </c>
      <c r="AZ1444" s="65" t="s">
        <v>2616</v>
      </c>
      <c r="BA1444" s="46" t="s">
        <v>2557</v>
      </c>
      <c r="BC1444" s="34">
        <f>AW1444+AX1444</f>
        <v>0</v>
      </c>
      <c r="BD1444" s="34">
        <f>H1444/(100-BE1444)*100</f>
        <v>0</v>
      </c>
      <c r="BE1444" s="34">
        <v>0</v>
      </c>
      <c r="BF1444" s="34">
        <f>1444</f>
        <v>1444</v>
      </c>
      <c r="BH1444" s="34">
        <f>G1444*AO1444</f>
        <v>0</v>
      </c>
      <c r="BI1444" s="34">
        <f>G1444*AP1444</f>
        <v>0</v>
      </c>
      <c r="BJ1444" s="34">
        <f>G1444*H1444</f>
        <v>0</v>
      </c>
      <c r="BK1444" s="34"/>
      <c r="BL1444" s="34">
        <v>721</v>
      </c>
      <c r="BW1444" s="34">
        <v>21</v>
      </c>
      <c r="BX1444" s="3" t="s">
        <v>2693</v>
      </c>
    </row>
    <row r="1445" spans="1:76" x14ac:dyDescent="0.25">
      <c r="A1445" s="66"/>
      <c r="D1445" s="67" t="s">
        <v>148</v>
      </c>
      <c r="E1445" s="67" t="s">
        <v>2694</v>
      </c>
      <c r="G1445" s="68">
        <v>3</v>
      </c>
      <c r="K1445" s="59"/>
    </row>
    <row r="1446" spans="1:76" x14ac:dyDescent="0.25">
      <c r="A1446" s="66"/>
      <c r="D1446" s="67" t="s">
        <v>129</v>
      </c>
      <c r="E1446" s="67" t="s">
        <v>2695</v>
      </c>
      <c r="G1446" s="68">
        <v>1</v>
      </c>
      <c r="K1446" s="59"/>
    </row>
    <row r="1447" spans="1:76" x14ac:dyDescent="0.25">
      <c r="A1447" s="60" t="s">
        <v>4</v>
      </c>
      <c r="B1447" s="61" t="s">
        <v>93</v>
      </c>
      <c r="C1447" s="61" t="s">
        <v>1060</v>
      </c>
      <c r="D1447" s="167" t="s">
        <v>1061</v>
      </c>
      <c r="E1447" s="168"/>
      <c r="F1447" s="62" t="s">
        <v>79</v>
      </c>
      <c r="G1447" s="62" t="s">
        <v>79</v>
      </c>
      <c r="H1447" s="63" t="s">
        <v>79</v>
      </c>
      <c r="I1447" s="39">
        <f>SUM(I1448:I1513)</f>
        <v>0</v>
      </c>
      <c r="J1447" s="46" t="s">
        <v>4</v>
      </c>
      <c r="K1447" s="59"/>
      <c r="AI1447" s="46" t="s">
        <v>93</v>
      </c>
      <c r="AS1447" s="39">
        <f>SUM(AJ1448:AJ1513)</f>
        <v>0</v>
      </c>
      <c r="AT1447" s="39">
        <f>SUM(AK1448:AK1513)</f>
        <v>0</v>
      </c>
      <c r="AU1447" s="39">
        <f>SUM(AL1448:AL1513)</f>
        <v>0</v>
      </c>
    </row>
    <row r="1448" spans="1:76" x14ac:dyDescent="0.25">
      <c r="A1448" s="1" t="s">
        <v>2696</v>
      </c>
      <c r="B1448" s="2" t="s">
        <v>93</v>
      </c>
      <c r="C1448" s="2" t="s">
        <v>2697</v>
      </c>
      <c r="D1448" s="86" t="s">
        <v>2698</v>
      </c>
      <c r="E1448" s="81"/>
      <c r="F1448" s="2" t="s">
        <v>1072</v>
      </c>
      <c r="G1448" s="34">
        <v>1</v>
      </c>
      <c r="H1448" s="64">
        <v>0</v>
      </c>
      <c r="I1448" s="34">
        <f>ROUND(G1448*H1448,2)</f>
        <v>0</v>
      </c>
      <c r="J1448" s="65" t="s">
        <v>133</v>
      </c>
      <c r="K1448" s="59"/>
      <c r="Z1448" s="34">
        <f>ROUND(IF(AQ1448="5",BJ1448,0),2)</f>
        <v>0</v>
      </c>
      <c r="AB1448" s="34">
        <f>ROUND(IF(AQ1448="1",BH1448,0),2)</f>
        <v>0</v>
      </c>
      <c r="AC1448" s="34">
        <f>ROUND(IF(AQ1448="1",BI1448,0),2)</f>
        <v>0</v>
      </c>
      <c r="AD1448" s="34">
        <f>ROUND(IF(AQ1448="7",BH1448,0),2)</f>
        <v>0</v>
      </c>
      <c r="AE1448" s="34">
        <f>ROUND(IF(AQ1448="7",BI1448,0),2)</f>
        <v>0</v>
      </c>
      <c r="AF1448" s="34">
        <f>ROUND(IF(AQ1448="2",BH1448,0),2)</f>
        <v>0</v>
      </c>
      <c r="AG1448" s="34">
        <f>ROUND(IF(AQ1448="2",BI1448,0),2)</f>
        <v>0</v>
      </c>
      <c r="AH1448" s="34">
        <f>ROUND(IF(AQ1448="0",BJ1448,0),2)</f>
        <v>0</v>
      </c>
      <c r="AI1448" s="46" t="s">
        <v>93</v>
      </c>
      <c r="AJ1448" s="34">
        <f>IF(AN1448=0,I1448,0)</f>
        <v>0</v>
      </c>
      <c r="AK1448" s="34">
        <f>IF(AN1448=12,I1448,0)</f>
        <v>0</v>
      </c>
      <c r="AL1448" s="34">
        <f>IF(AN1448=21,I1448,0)</f>
        <v>0</v>
      </c>
      <c r="AN1448" s="34">
        <v>21</v>
      </c>
      <c r="AO1448" s="34">
        <f>H1448*0.757661635</f>
        <v>0</v>
      </c>
      <c r="AP1448" s="34">
        <f>H1448*(1-0.757661635)</f>
        <v>0</v>
      </c>
      <c r="AQ1448" s="65" t="s">
        <v>175</v>
      </c>
      <c r="AV1448" s="34">
        <f>ROUND(AW1448+AX1448,2)</f>
        <v>0</v>
      </c>
      <c r="AW1448" s="34">
        <f>ROUND(G1448*AO1448,2)</f>
        <v>0</v>
      </c>
      <c r="AX1448" s="34">
        <f>ROUND(G1448*AP1448,2)</f>
        <v>0</v>
      </c>
      <c r="AY1448" s="65" t="s">
        <v>1065</v>
      </c>
      <c r="AZ1448" s="65" t="s">
        <v>2616</v>
      </c>
      <c r="BA1448" s="46" t="s">
        <v>2557</v>
      </c>
      <c r="BC1448" s="34">
        <f>AW1448+AX1448</f>
        <v>0</v>
      </c>
      <c r="BD1448" s="34">
        <f>H1448/(100-BE1448)*100</f>
        <v>0</v>
      </c>
      <c r="BE1448" s="34">
        <v>0</v>
      </c>
      <c r="BF1448" s="34">
        <f>1448</f>
        <v>1448</v>
      </c>
      <c r="BH1448" s="34">
        <f>G1448*AO1448</f>
        <v>0</v>
      </c>
      <c r="BI1448" s="34">
        <f>G1448*AP1448</f>
        <v>0</v>
      </c>
      <c r="BJ1448" s="34">
        <f>G1448*H1448</f>
        <v>0</v>
      </c>
      <c r="BK1448" s="34"/>
      <c r="BL1448" s="34">
        <v>722</v>
      </c>
      <c r="BW1448" s="34">
        <v>21</v>
      </c>
      <c r="BX1448" s="3" t="s">
        <v>2698</v>
      </c>
    </row>
    <row r="1449" spans="1:76" x14ac:dyDescent="0.25">
      <c r="A1449" s="66"/>
      <c r="D1449" s="67" t="s">
        <v>129</v>
      </c>
      <c r="E1449" s="67" t="s">
        <v>2699</v>
      </c>
      <c r="G1449" s="68">
        <v>1</v>
      </c>
      <c r="K1449" s="59"/>
    </row>
    <row r="1450" spans="1:76" x14ac:dyDescent="0.25">
      <c r="A1450" s="1" t="s">
        <v>2700</v>
      </c>
      <c r="B1450" s="2" t="s">
        <v>93</v>
      </c>
      <c r="C1450" s="2" t="s">
        <v>2701</v>
      </c>
      <c r="D1450" s="86" t="s">
        <v>2702</v>
      </c>
      <c r="E1450" s="81"/>
      <c r="F1450" s="2" t="s">
        <v>258</v>
      </c>
      <c r="G1450" s="34">
        <v>2</v>
      </c>
      <c r="H1450" s="64">
        <v>0</v>
      </c>
      <c r="I1450" s="34">
        <f>ROUND(G1450*H1450,2)</f>
        <v>0</v>
      </c>
      <c r="J1450" s="65" t="s">
        <v>133</v>
      </c>
      <c r="K1450" s="59"/>
      <c r="Z1450" s="34">
        <f>ROUND(IF(AQ1450="5",BJ1450,0),2)</f>
        <v>0</v>
      </c>
      <c r="AB1450" s="34">
        <f>ROUND(IF(AQ1450="1",BH1450,0),2)</f>
        <v>0</v>
      </c>
      <c r="AC1450" s="34">
        <f>ROUND(IF(AQ1450="1",BI1450,0),2)</f>
        <v>0</v>
      </c>
      <c r="AD1450" s="34">
        <f>ROUND(IF(AQ1450="7",BH1450,0),2)</f>
        <v>0</v>
      </c>
      <c r="AE1450" s="34">
        <f>ROUND(IF(AQ1450="7",BI1450,0),2)</f>
        <v>0</v>
      </c>
      <c r="AF1450" s="34">
        <f>ROUND(IF(AQ1450="2",BH1450,0),2)</f>
        <v>0</v>
      </c>
      <c r="AG1450" s="34">
        <f>ROUND(IF(AQ1450="2",BI1450,0),2)</f>
        <v>0</v>
      </c>
      <c r="AH1450" s="34">
        <f>ROUND(IF(AQ1450="0",BJ1450,0),2)</f>
        <v>0</v>
      </c>
      <c r="AI1450" s="46" t="s">
        <v>93</v>
      </c>
      <c r="AJ1450" s="34">
        <f>IF(AN1450=0,I1450,0)</f>
        <v>0</v>
      </c>
      <c r="AK1450" s="34">
        <f>IF(AN1450=12,I1450,0)</f>
        <v>0</v>
      </c>
      <c r="AL1450" s="34">
        <f>IF(AN1450=21,I1450,0)</f>
        <v>0</v>
      </c>
      <c r="AN1450" s="34">
        <v>21</v>
      </c>
      <c r="AO1450" s="34">
        <f>H1450*0.844510814</f>
        <v>0</v>
      </c>
      <c r="AP1450" s="34">
        <f>H1450*(1-0.844510814)</f>
        <v>0</v>
      </c>
      <c r="AQ1450" s="65" t="s">
        <v>175</v>
      </c>
      <c r="AV1450" s="34">
        <f>ROUND(AW1450+AX1450,2)</f>
        <v>0</v>
      </c>
      <c r="AW1450" s="34">
        <f>ROUND(G1450*AO1450,2)</f>
        <v>0</v>
      </c>
      <c r="AX1450" s="34">
        <f>ROUND(G1450*AP1450,2)</f>
        <v>0</v>
      </c>
      <c r="AY1450" s="65" t="s">
        <v>1065</v>
      </c>
      <c r="AZ1450" s="65" t="s">
        <v>2616</v>
      </c>
      <c r="BA1450" s="46" t="s">
        <v>2557</v>
      </c>
      <c r="BC1450" s="34">
        <f>AW1450+AX1450</f>
        <v>0</v>
      </c>
      <c r="BD1450" s="34">
        <f>H1450/(100-BE1450)*100</f>
        <v>0</v>
      </c>
      <c r="BE1450" s="34">
        <v>0</v>
      </c>
      <c r="BF1450" s="34">
        <f>1450</f>
        <v>1450</v>
      </c>
      <c r="BH1450" s="34">
        <f>G1450*AO1450</f>
        <v>0</v>
      </c>
      <c r="BI1450" s="34">
        <f>G1450*AP1450</f>
        <v>0</v>
      </c>
      <c r="BJ1450" s="34">
        <f>G1450*H1450</f>
        <v>0</v>
      </c>
      <c r="BK1450" s="34"/>
      <c r="BL1450" s="34">
        <v>722</v>
      </c>
      <c r="BW1450" s="34">
        <v>21</v>
      </c>
      <c r="BX1450" s="3" t="s">
        <v>2702</v>
      </c>
    </row>
    <row r="1451" spans="1:76" x14ac:dyDescent="0.25">
      <c r="A1451" s="66"/>
      <c r="D1451" s="67" t="s">
        <v>140</v>
      </c>
      <c r="E1451" s="67" t="s">
        <v>4</v>
      </c>
      <c r="G1451" s="68">
        <v>2</v>
      </c>
      <c r="K1451" s="59"/>
    </row>
    <row r="1452" spans="1:76" x14ac:dyDescent="0.25">
      <c r="A1452" s="1" t="s">
        <v>2703</v>
      </c>
      <c r="B1452" s="2" t="s">
        <v>93</v>
      </c>
      <c r="C1452" s="2" t="s">
        <v>2704</v>
      </c>
      <c r="D1452" s="86" t="s">
        <v>2705</v>
      </c>
      <c r="E1452" s="81"/>
      <c r="F1452" s="2" t="s">
        <v>258</v>
      </c>
      <c r="G1452" s="34">
        <v>20</v>
      </c>
      <c r="H1452" s="64">
        <v>0</v>
      </c>
      <c r="I1452" s="34">
        <f>ROUND(G1452*H1452,2)</f>
        <v>0</v>
      </c>
      <c r="J1452" s="65" t="s">
        <v>133</v>
      </c>
      <c r="K1452" s="59"/>
      <c r="Z1452" s="34">
        <f>ROUND(IF(AQ1452="5",BJ1452,0),2)</f>
        <v>0</v>
      </c>
      <c r="AB1452" s="34">
        <f>ROUND(IF(AQ1452="1",BH1452,0),2)</f>
        <v>0</v>
      </c>
      <c r="AC1452" s="34">
        <f>ROUND(IF(AQ1452="1",BI1452,0),2)</f>
        <v>0</v>
      </c>
      <c r="AD1452" s="34">
        <f>ROUND(IF(AQ1452="7",BH1452,0),2)</f>
        <v>0</v>
      </c>
      <c r="AE1452" s="34">
        <f>ROUND(IF(AQ1452="7",BI1452,0),2)</f>
        <v>0</v>
      </c>
      <c r="AF1452" s="34">
        <f>ROUND(IF(AQ1452="2",BH1452,0),2)</f>
        <v>0</v>
      </c>
      <c r="AG1452" s="34">
        <f>ROUND(IF(AQ1452="2",BI1452,0),2)</f>
        <v>0</v>
      </c>
      <c r="AH1452" s="34">
        <f>ROUND(IF(AQ1452="0",BJ1452,0),2)</f>
        <v>0</v>
      </c>
      <c r="AI1452" s="46" t="s">
        <v>93</v>
      </c>
      <c r="AJ1452" s="34">
        <f>IF(AN1452=0,I1452,0)</f>
        <v>0</v>
      </c>
      <c r="AK1452" s="34">
        <f>IF(AN1452=12,I1452,0)</f>
        <v>0</v>
      </c>
      <c r="AL1452" s="34">
        <f>IF(AN1452=21,I1452,0)</f>
        <v>0</v>
      </c>
      <c r="AN1452" s="34">
        <v>21</v>
      </c>
      <c r="AO1452" s="34">
        <f>H1452*1</f>
        <v>0</v>
      </c>
      <c r="AP1452" s="34">
        <f>H1452*(1-1)</f>
        <v>0</v>
      </c>
      <c r="AQ1452" s="65" t="s">
        <v>175</v>
      </c>
      <c r="AV1452" s="34">
        <f>ROUND(AW1452+AX1452,2)</f>
        <v>0</v>
      </c>
      <c r="AW1452" s="34">
        <f>ROUND(G1452*AO1452,2)</f>
        <v>0</v>
      </c>
      <c r="AX1452" s="34">
        <f>ROUND(G1452*AP1452,2)</f>
        <v>0</v>
      </c>
      <c r="AY1452" s="65" t="s">
        <v>1065</v>
      </c>
      <c r="AZ1452" s="65" t="s">
        <v>2616</v>
      </c>
      <c r="BA1452" s="46" t="s">
        <v>2557</v>
      </c>
      <c r="BC1452" s="34">
        <f>AW1452+AX1452</f>
        <v>0</v>
      </c>
      <c r="BD1452" s="34">
        <f>H1452/(100-BE1452)*100</f>
        <v>0</v>
      </c>
      <c r="BE1452" s="34">
        <v>0</v>
      </c>
      <c r="BF1452" s="34">
        <f>1452</f>
        <v>1452</v>
      </c>
      <c r="BH1452" s="34">
        <f>G1452*AO1452</f>
        <v>0</v>
      </c>
      <c r="BI1452" s="34">
        <f>G1452*AP1452</f>
        <v>0</v>
      </c>
      <c r="BJ1452" s="34">
        <f>G1452*H1452</f>
        <v>0</v>
      </c>
      <c r="BK1452" s="34"/>
      <c r="BL1452" s="34">
        <v>722</v>
      </c>
      <c r="BW1452" s="34">
        <v>21</v>
      </c>
      <c r="BX1452" s="3" t="s">
        <v>2705</v>
      </c>
    </row>
    <row r="1453" spans="1:76" x14ac:dyDescent="0.25">
      <c r="A1453" s="66"/>
      <c r="D1453" s="67" t="s">
        <v>273</v>
      </c>
      <c r="E1453" s="67" t="s">
        <v>4</v>
      </c>
      <c r="G1453" s="68">
        <v>20</v>
      </c>
      <c r="K1453" s="59"/>
    </row>
    <row r="1454" spans="1:76" x14ac:dyDescent="0.25">
      <c r="A1454" s="1" t="s">
        <v>2706</v>
      </c>
      <c r="B1454" s="2" t="s">
        <v>93</v>
      </c>
      <c r="C1454" s="2" t="s">
        <v>2707</v>
      </c>
      <c r="D1454" s="86" t="s">
        <v>2708</v>
      </c>
      <c r="E1454" s="81"/>
      <c r="F1454" s="2" t="s">
        <v>239</v>
      </c>
      <c r="G1454" s="34">
        <v>14</v>
      </c>
      <c r="H1454" s="64">
        <v>0</v>
      </c>
      <c r="I1454" s="34">
        <f>ROUND(G1454*H1454,2)</f>
        <v>0</v>
      </c>
      <c r="J1454" s="65" t="s">
        <v>133</v>
      </c>
      <c r="K1454" s="59"/>
      <c r="Z1454" s="34">
        <f>ROUND(IF(AQ1454="5",BJ1454,0),2)</f>
        <v>0</v>
      </c>
      <c r="AB1454" s="34">
        <f>ROUND(IF(AQ1454="1",BH1454,0),2)</f>
        <v>0</v>
      </c>
      <c r="AC1454" s="34">
        <f>ROUND(IF(AQ1454="1",BI1454,0),2)</f>
        <v>0</v>
      </c>
      <c r="AD1454" s="34">
        <f>ROUND(IF(AQ1454="7",BH1454,0),2)</f>
        <v>0</v>
      </c>
      <c r="AE1454" s="34">
        <f>ROUND(IF(AQ1454="7",BI1454,0),2)</f>
        <v>0</v>
      </c>
      <c r="AF1454" s="34">
        <f>ROUND(IF(AQ1454="2",BH1454,0),2)</f>
        <v>0</v>
      </c>
      <c r="AG1454" s="34">
        <f>ROUND(IF(AQ1454="2",BI1454,0),2)</f>
        <v>0</v>
      </c>
      <c r="AH1454" s="34">
        <f>ROUND(IF(AQ1454="0",BJ1454,0),2)</f>
        <v>0</v>
      </c>
      <c r="AI1454" s="46" t="s">
        <v>93</v>
      </c>
      <c r="AJ1454" s="34">
        <f>IF(AN1454=0,I1454,0)</f>
        <v>0</v>
      </c>
      <c r="AK1454" s="34">
        <f>IF(AN1454=12,I1454,0)</f>
        <v>0</v>
      </c>
      <c r="AL1454" s="34">
        <f>IF(AN1454=21,I1454,0)</f>
        <v>0</v>
      </c>
      <c r="AN1454" s="34">
        <v>21</v>
      </c>
      <c r="AO1454" s="34">
        <f>H1454*0.50853839</f>
        <v>0</v>
      </c>
      <c r="AP1454" s="34">
        <f>H1454*(1-0.50853839)</f>
        <v>0</v>
      </c>
      <c r="AQ1454" s="65" t="s">
        <v>175</v>
      </c>
      <c r="AV1454" s="34">
        <f>ROUND(AW1454+AX1454,2)</f>
        <v>0</v>
      </c>
      <c r="AW1454" s="34">
        <f>ROUND(G1454*AO1454,2)</f>
        <v>0</v>
      </c>
      <c r="AX1454" s="34">
        <f>ROUND(G1454*AP1454,2)</f>
        <v>0</v>
      </c>
      <c r="AY1454" s="65" t="s">
        <v>1065</v>
      </c>
      <c r="AZ1454" s="65" t="s">
        <v>2616</v>
      </c>
      <c r="BA1454" s="46" t="s">
        <v>2557</v>
      </c>
      <c r="BC1454" s="34">
        <f>AW1454+AX1454</f>
        <v>0</v>
      </c>
      <c r="BD1454" s="34">
        <f>H1454/(100-BE1454)*100</f>
        <v>0</v>
      </c>
      <c r="BE1454" s="34">
        <v>0</v>
      </c>
      <c r="BF1454" s="34">
        <f>1454</f>
        <v>1454</v>
      </c>
      <c r="BH1454" s="34">
        <f>G1454*AO1454</f>
        <v>0</v>
      </c>
      <c r="BI1454" s="34">
        <f>G1454*AP1454</f>
        <v>0</v>
      </c>
      <c r="BJ1454" s="34">
        <f>G1454*H1454</f>
        <v>0</v>
      </c>
      <c r="BK1454" s="34"/>
      <c r="BL1454" s="34">
        <v>722</v>
      </c>
      <c r="BW1454" s="34">
        <v>21</v>
      </c>
      <c r="BX1454" s="3" t="s">
        <v>2708</v>
      </c>
    </row>
    <row r="1455" spans="1:76" x14ac:dyDescent="0.25">
      <c r="A1455" s="66"/>
      <c r="D1455" s="67" t="s">
        <v>229</v>
      </c>
      <c r="E1455" s="67" t="s">
        <v>4</v>
      </c>
      <c r="G1455" s="68">
        <v>14</v>
      </c>
      <c r="K1455" s="59"/>
    </row>
    <row r="1456" spans="1:76" x14ac:dyDescent="0.25">
      <c r="A1456" s="1" t="s">
        <v>2709</v>
      </c>
      <c r="B1456" s="2" t="s">
        <v>93</v>
      </c>
      <c r="C1456" s="2" t="s">
        <v>2710</v>
      </c>
      <c r="D1456" s="86" t="s">
        <v>2711</v>
      </c>
      <c r="E1456" s="81"/>
      <c r="F1456" s="2" t="s">
        <v>239</v>
      </c>
      <c r="G1456" s="34">
        <v>3</v>
      </c>
      <c r="H1456" s="64">
        <v>0</v>
      </c>
      <c r="I1456" s="34">
        <f>ROUND(G1456*H1456,2)</f>
        <v>0</v>
      </c>
      <c r="J1456" s="65" t="s">
        <v>133</v>
      </c>
      <c r="K1456" s="59"/>
      <c r="Z1456" s="34">
        <f>ROUND(IF(AQ1456="5",BJ1456,0),2)</f>
        <v>0</v>
      </c>
      <c r="AB1456" s="34">
        <f>ROUND(IF(AQ1456="1",BH1456,0),2)</f>
        <v>0</v>
      </c>
      <c r="AC1456" s="34">
        <f>ROUND(IF(AQ1456="1",BI1456,0),2)</f>
        <v>0</v>
      </c>
      <c r="AD1456" s="34">
        <f>ROUND(IF(AQ1456="7",BH1456,0),2)</f>
        <v>0</v>
      </c>
      <c r="AE1456" s="34">
        <f>ROUND(IF(AQ1456="7",BI1456,0),2)</f>
        <v>0</v>
      </c>
      <c r="AF1456" s="34">
        <f>ROUND(IF(AQ1456="2",BH1456,0),2)</f>
        <v>0</v>
      </c>
      <c r="AG1456" s="34">
        <f>ROUND(IF(AQ1456="2",BI1456,0),2)</f>
        <v>0</v>
      </c>
      <c r="AH1456" s="34">
        <f>ROUND(IF(AQ1456="0",BJ1456,0),2)</f>
        <v>0</v>
      </c>
      <c r="AI1456" s="46" t="s">
        <v>93</v>
      </c>
      <c r="AJ1456" s="34">
        <f>IF(AN1456=0,I1456,0)</f>
        <v>0</v>
      </c>
      <c r="AK1456" s="34">
        <f>IF(AN1456=12,I1456,0)</f>
        <v>0</v>
      </c>
      <c r="AL1456" s="34">
        <f>IF(AN1456=21,I1456,0)</f>
        <v>0</v>
      </c>
      <c r="AN1456" s="34">
        <v>21</v>
      </c>
      <c r="AO1456" s="34">
        <f>H1456*0.462544434</f>
        <v>0</v>
      </c>
      <c r="AP1456" s="34">
        <f>H1456*(1-0.462544434)</f>
        <v>0</v>
      </c>
      <c r="AQ1456" s="65" t="s">
        <v>175</v>
      </c>
      <c r="AV1456" s="34">
        <f>ROUND(AW1456+AX1456,2)</f>
        <v>0</v>
      </c>
      <c r="AW1456" s="34">
        <f>ROUND(G1456*AO1456,2)</f>
        <v>0</v>
      </c>
      <c r="AX1456" s="34">
        <f>ROUND(G1456*AP1456,2)</f>
        <v>0</v>
      </c>
      <c r="AY1456" s="65" t="s">
        <v>1065</v>
      </c>
      <c r="AZ1456" s="65" t="s">
        <v>2616</v>
      </c>
      <c r="BA1456" s="46" t="s">
        <v>2557</v>
      </c>
      <c r="BC1456" s="34">
        <f>AW1456+AX1456</f>
        <v>0</v>
      </c>
      <c r="BD1456" s="34">
        <f>H1456/(100-BE1456)*100</f>
        <v>0</v>
      </c>
      <c r="BE1456" s="34">
        <v>0</v>
      </c>
      <c r="BF1456" s="34">
        <f>1456</f>
        <v>1456</v>
      </c>
      <c r="BH1456" s="34">
        <f>G1456*AO1456</f>
        <v>0</v>
      </c>
      <c r="BI1456" s="34">
        <f>G1456*AP1456</f>
        <v>0</v>
      </c>
      <c r="BJ1456" s="34">
        <f>G1456*H1456</f>
        <v>0</v>
      </c>
      <c r="BK1456" s="34"/>
      <c r="BL1456" s="34">
        <v>722</v>
      </c>
      <c r="BW1456" s="34">
        <v>21</v>
      </c>
      <c r="BX1456" s="3" t="s">
        <v>2711</v>
      </c>
    </row>
    <row r="1457" spans="1:76" x14ac:dyDescent="0.25">
      <c r="A1457" s="66"/>
      <c r="D1457" s="67" t="s">
        <v>148</v>
      </c>
      <c r="E1457" s="67" t="s">
        <v>4</v>
      </c>
      <c r="G1457" s="68">
        <v>3</v>
      </c>
      <c r="K1457" s="59"/>
    </row>
    <row r="1458" spans="1:76" x14ac:dyDescent="0.25">
      <c r="A1458" s="1" t="s">
        <v>2712</v>
      </c>
      <c r="B1458" s="2" t="s">
        <v>93</v>
      </c>
      <c r="C1458" s="2" t="s">
        <v>2713</v>
      </c>
      <c r="D1458" s="86" t="s">
        <v>2714</v>
      </c>
      <c r="E1458" s="81"/>
      <c r="F1458" s="2" t="s">
        <v>239</v>
      </c>
      <c r="G1458" s="34">
        <v>16</v>
      </c>
      <c r="H1458" s="64">
        <v>0</v>
      </c>
      <c r="I1458" s="34">
        <f>ROUND(G1458*H1458,2)</f>
        <v>0</v>
      </c>
      <c r="J1458" s="65" t="s">
        <v>133</v>
      </c>
      <c r="K1458" s="59"/>
      <c r="Z1458" s="34">
        <f>ROUND(IF(AQ1458="5",BJ1458,0),2)</f>
        <v>0</v>
      </c>
      <c r="AB1458" s="34">
        <f>ROUND(IF(AQ1458="1",BH1458,0),2)</f>
        <v>0</v>
      </c>
      <c r="AC1458" s="34">
        <f>ROUND(IF(AQ1458="1",BI1458,0),2)</f>
        <v>0</v>
      </c>
      <c r="AD1458" s="34">
        <f>ROUND(IF(AQ1458="7",BH1458,0),2)</f>
        <v>0</v>
      </c>
      <c r="AE1458" s="34">
        <f>ROUND(IF(AQ1458="7",BI1458,0),2)</f>
        <v>0</v>
      </c>
      <c r="AF1458" s="34">
        <f>ROUND(IF(AQ1458="2",BH1458,0),2)</f>
        <v>0</v>
      </c>
      <c r="AG1458" s="34">
        <f>ROUND(IF(AQ1458="2",BI1458,0),2)</f>
        <v>0</v>
      </c>
      <c r="AH1458" s="34">
        <f>ROUND(IF(AQ1458="0",BJ1458,0),2)</f>
        <v>0</v>
      </c>
      <c r="AI1458" s="46" t="s">
        <v>93</v>
      </c>
      <c r="AJ1458" s="34">
        <f>IF(AN1458=0,I1458,0)</f>
        <v>0</v>
      </c>
      <c r="AK1458" s="34">
        <f>IF(AN1458=12,I1458,0)</f>
        <v>0</v>
      </c>
      <c r="AL1458" s="34">
        <f>IF(AN1458=21,I1458,0)</f>
        <v>0</v>
      </c>
      <c r="AN1458" s="34">
        <v>21</v>
      </c>
      <c r="AO1458" s="34">
        <f>H1458*0.562876344</f>
        <v>0</v>
      </c>
      <c r="AP1458" s="34">
        <f>H1458*(1-0.562876344)</f>
        <v>0</v>
      </c>
      <c r="AQ1458" s="65" t="s">
        <v>175</v>
      </c>
      <c r="AV1458" s="34">
        <f>ROUND(AW1458+AX1458,2)</f>
        <v>0</v>
      </c>
      <c r="AW1458" s="34">
        <f>ROUND(G1458*AO1458,2)</f>
        <v>0</v>
      </c>
      <c r="AX1458" s="34">
        <f>ROUND(G1458*AP1458,2)</f>
        <v>0</v>
      </c>
      <c r="AY1458" s="65" t="s">
        <v>1065</v>
      </c>
      <c r="AZ1458" s="65" t="s">
        <v>2616</v>
      </c>
      <c r="BA1458" s="46" t="s">
        <v>2557</v>
      </c>
      <c r="BC1458" s="34">
        <f>AW1458+AX1458</f>
        <v>0</v>
      </c>
      <c r="BD1458" s="34">
        <f>H1458/(100-BE1458)*100</f>
        <v>0</v>
      </c>
      <c r="BE1458" s="34">
        <v>0</v>
      </c>
      <c r="BF1458" s="34">
        <f>1458</f>
        <v>1458</v>
      </c>
      <c r="BH1458" s="34">
        <f>G1458*AO1458</f>
        <v>0</v>
      </c>
      <c r="BI1458" s="34">
        <f>G1458*AP1458</f>
        <v>0</v>
      </c>
      <c r="BJ1458" s="34">
        <f>G1458*H1458</f>
        <v>0</v>
      </c>
      <c r="BK1458" s="34"/>
      <c r="BL1458" s="34">
        <v>722</v>
      </c>
      <c r="BW1458" s="34">
        <v>21</v>
      </c>
      <c r="BX1458" s="3" t="s">
        <v>2714</v>
      </c>
    </row>
    <row r="1459" spans="1:76" x14ac:dyDescent="0.25">
      <c r="A1459" s="66"/>
      <c r="D1459" s="67" t="s">
        <v>137</v>
      </c>
      <c r="E1459" s="67" t="s">
        <v>4</v>
      </c>
      <c r="G1459" s="68">
        <v>16</v>
      </c>
      <c r="K1459" s="59"/>
    </row>
    <row r="1460" spans="1:76" x14ac:dyDescent="0.25">
      <c r="A1460" s="1" t="s">
        <v>2715</v>
      </c>
      <c r="B1460" s="2" t="s">
        <v>93</v>
      </c>
      <c r="C1460" s="2" t="s">
        <v>2716</v>
      </c>
      <c r="D1460" s="86" t="s">
        <v>2717</v>
      </c>
      <c r="E1460" s="81"/>
      <c r="F1460" s="2" t="s">
        <v>239</v>
      </c>
      <c r="G1460" s="34">
        <v>3</v>
      </c>
      <c r="H1460" s="64">
        <v>0</v>
      </c>
      <c r="I1460" s="34">
        <f>ROUND(G1460*H1460,2)</f>
        <v>0</v>
      </c>
      <c r="J1460" s="65" t="s">
        <v>133</v>
      </c>
      <c r="K1460" s="59"/>
      <c r="Z1460" s="34">
        <f>ROUND(IF(AQ1460="5",BJ1460,0),2)</f>
        <v>0</v>
      </c>
      <c r="AB1460" s="34">
        <f>ROUND(IF(AQ1460="1",BH1460,0),2)</f>
        <v>0</v>
      </c>
      <c r="AC1460" s="34">
        <f>ROUND(IF(AQ1460="1",BI1460,0),2)</f>
        <v>0</v>
      </c>
      <c r="AD1460" s="34">
        <f>ROUND(IF(AQ1460="7",BH1460,0),2)</f>
        <v>0</v>
      </c>
      <c r="AE1460" s="34">
        <f>ROUND(IF(AQ1460="7",BI1460,0),2)</f>
        <v>0</v>
      </c>
      <c r="AF1460" s="34">
        <f>ROUND(IF(AQ1460="2",BH1460,0),2)</f>
        <v>0</v>
      </c>
      <c r="AG1460" s="34">
        <f>ROUND(IF(AQ1460="2",BI1460,0),2)</f>
        <v>0</v>
      </c>
      <c r="AH1460" s="34">
        <f>ROUND(IF(AQ1460="0",BJ1460,0),2)</f>
        <v>0</v>
      </c>
      <c r="AI1460" s="46" t="s">
        <v>93</v>
      </c>
      <c r="AJ1460" s="34">
        <f>IF(AN1460=0,I1460,0)</f>
        <v>0</v>
      </c>
      <c r="AK1460" s="34">
        <f>IF(AN1460=12,I1460,0)</f>
        <v>0</v>
      </c>
      <c r="AL1460" s="34">
        <f>IF(AN1460=21,I1460,0)</f>
        <v>0</v>
      </c>
      <c r="AN1460" s="34">
        <v>21</v>
      </c>
      <c r="AO1460" s="34">
        <f>H1460*0.496163043</f>
        <v>0</v>
      </c>
      <c r="AP1460" s="34">
        <f>H1460*(1-0.496163043)</f>
        <v>0</v>
      </c>
      <c r="AQ1460" s="65" t="s">
        <v>175</v>
      </c>
      <c r="AV1460" s="34">
        <f>ROUND(AW1460+AX1460,2)</f>
        <v>0</v>
      </c>
      <c r="AW1460" s="34">
        <f>ROUND(G1460*AO1460,2)</f>
        <v>0</v>
      </c>
      <c r="AX1460" s="34">
        <f>ROUND(G1460*AP1460,2)</f>
        <v>0</v>
      </c>
      <c r="AY1460" s="65" t="s">
        <v>1065</v>
      </c>
      <c r="AZ1460" s="65" t="s">
        <v>2616</v>
      </c>
      <c r="BA1460" s="46" t="s">
        <v>2557</v>
      </c>
      <c r="BC1460" s="34">
        <f>AW1460+AX1460</f>
        <v>0</v>
      </c>
      <c r="BD1460" s="34">
        <f>H1460/(100-BE1460)*100</f>
        <v>0</v>
      </c>
      <c r="BE1460" s="34">
        <v>0</v>
      </c>
      <c r="BF1460" s="34">
        <f>1460</f>
        <v>1460</v>
      </c>
      <c r="BH1460" s="34">
        <f>G1460*AO1460</f>
        <v>0</v>
      </c>
      <c r="BI1460" s="34">
        <f>G1460*AP1460</f>
        <v>0</v>
      </c>
      <c r="BJ1460" s="34">
        <f>G1460*H1460</f>
        <v>0</v>
      </c>
      <c r="BK1460" s="34"/>
      <c r="BL1460" s="34">
        <v>722</v>
      </c>
      <c r="BW1460" s="34">
        <v>21</v>
      </c>
      <c r="BX1460" s="3" t="s">
        <v>2717</v>
      </c>
    </row>
    <row r="1461" spans="1:76" x14ac:dyDescent="0.25">
      <c r="A1461" s="66"/>
      <c r="D1461" s="67" t="s">
        <v>148</v>
      </c>
      <c r="E1461" s="67" t="s">
        <v>4</v>
      </c>
      <c r="G1461" s="68">
        <v>3</v>
      </c>
      <c r="K1461" s="59"/>
    </row>
    <row r="1462" spans="1:76" x14ac:dyDescent="0.25">
      <c r="A1462" s="1" t="s">
        <v>2718</v>
      </c>
      <c r="B1462" s="2" t="s">
        <v>93</v>
      </c>
      <c r="C1462" s="2" t="s">
        <v>2719</v>
      </c>
      <c r="D1462" s="86" t="s">
        <v>2720</v>
      </c>
      <c r="E1462" s="81"/>
      <c r="F1462" s="2" t="s">
        <v>239</v>
      </c>
      <c r="G1462" s="34">
        <v>2</v>
      </c>
      <c r="H1462" s="64">
        <v>0</v>
      </c>
      <c r="I1462" s="34">
        <f>ROUND(G1462*H1462,2)</f>
        <v>0</v>
      </c>
      <c r="J1462" s="65" t="s">
        <v>133</v>
      </c>
      <c r="K1462" s="59"/>
      <c r="Z1462" s="34">
        <f>ROUND(IF(AQ1462="5",BJ1462,0),2)</f>
        <v>0</v>
      </c>
      <c r="AB1462" s="34">
        <f>ROUND(IF(AQ1462="1",BH1462,0),2)</f>
        <v>0</v>
      </c>
      <c r="AC1462" s="34">
        <f>ROUND(IF(AQ1462="1",BI1462,0),2)</f>
        <v>0</v>
      </c>
      <c r="AD1462" s="34">
        <f>ROUND(IF(AQ1462="7",BH1462,0),2)</f>
        <v>0</v>
      </c>
      <c r="AE1462" s="34">
        <f>ROUND(IF(AQ1462="7",BI1462,0),2)</f>
        <v>0</v>
      </c>
      <c r="AF1462" s="34">
        <f>ROUND(IF(AQ1462="2",BH1462,0),2)</f>
        <v>0</v>
      </c>
      <c r="AG1462" s="34">
        <f>ROUND(IF(AQ1462="2",BI1462,0),2)</f>
        <v>0</v>
      </c>
      <c r="AH1462" s="34">
        <f>ROUND(IF(AQ1462="0",BJ1462,0),2)</f>
        <v>0</v>
      </c>
      <c r="AI1462" s="46" t="s">
        <v>93</v>
      </c>
      <c r="AJ1462" s="34">
        <f>IF(AN1462=0,I1462,0)</f>
        <v>0</v>
      </c>
      <c r="AK1462" s="34">
        <f>IF(AN1462=12,I1462,0)</f>
        <v>0</v>
      </c>
      <c r="AL1462" s="34">
        <f>IF(AN1462=21,I1462,0)</f>
        <v>0</v>
      </c>
      <c r="AN1462" s="34">
        <v>21</v>
      </c>
      <c r="AO1462" s="34">
        <f>H1462*0.593152174</f>
        <v>0</v>
      </c>
      <c r="AP1462" s="34">
        <f>H1462*(1-0.593152174)</f>
        <v>0</v>
      </c>
      <c r="AQ1462" s="65" t="s">
        <v>175</v>
      </c>
      <c r="AV1462" s="34">
        <f>ROUND(AW1462+AX1462,2)</f>
        <v>0</v>
      </c>
      <c r="AW1462" s="34">
        <f>ROUND(G1462*AO1462,2)</f>
        <v>0</v>
      </c>
      <c r="AX1462" s="34">
        <f>ROUND(G1462*AP1462,2)</f>
        <v>0</v>
      </c>
      <c r="AY1462" s="65" t="s">
        <v>1065</v>
      </c>
      <c r="AZ1462" s="65" t="s">
        <v>2616</v>
      </c>
      <c r="BA1462" s="46" t="s">
        <v>2557</v>
      </c>
      <c r="BC1462" s="34">
        <f>AW1462+AX1462</f>
        <v>0</v>
      </c>
      <c r="BD1462" s="34">
        <f>H1462/(100-BE1462)*100</f>
        <v>0</v>
      </c>
      <c r="BE1462" s="34">
        <v>0</v>
      </c>
      <c r="BF1462" s="34">
        <f>1462</f>
        <v>1462</v>
      </c>
      <c r="BH1462" s="34">
        <f>G1462*AO1462</f>
        <v>0</v>
      </c>
      <c r="BI1462" s="34">
        <f>G1462*AP1462</f>
        <v>0</v>
      </c>
      <c r="BJ1462" s="34">
        <f>G1462*H1462</f>
        <v>0</v>
      </c>
      <c r="BK1462" s="34"/>
      <c r="BL1462" s="34">
        <v>722</v>
      </c>
      <c r="BW1462" s="34">
        <v>21</v>
      </c>
      <c r="BX1462" s="3" t="s">
        <v>2720</v>
      </c>
    </row>
    <row r="1463" spans="1:76" x14ac:dyDescent="0.25">
      <c r="A1463" s="66"/>
      <c r="D1463" s="67" t="s">
        <v>140</v>
      </c>
      <c r="E1463" s="67" t="s">
        <v>4</v>
      </c>
      <c r="G1463" s="68">
        <v>2</v>
      </c>
      <c r="K1463" s="59"/>
    </row>
    <row r="1464" spans="1:76" x14ac:dyDescent="0.25">
      <c r="A1464" s="1" t="s">
        <v>2721</v>
      </c>
      <c r="B1464" s="2" t="s">
        <v>93</v>
      </c>
      <c r="C1464" s="2" t="s">
        <v>2722</v>
      </c>
      <c r="D1464" s="86" t="s">
        <v>2723</v>
      </c>
      <c r="E1464" s="81"/>
      <c r="F1464" s="2" t="s">
        <v>239</v>
      </c>
      <c r="G1464" s="34">
        <v>29</v>
      </c>
      <c r="H1464" s="64">
        <v>0</v>
      </c>
      <c r="I1464" s="34">
        <f>ROUND(G1464*H1464,2)</f>
        <v>0</v>
      </c>
      <c r="J1464" s="65" t="s">
        <v>133</v>
      </c>
      <c r="K1464" s="59"/>
      <c r="Z1464" s="34">
        <f>ROUND(IF(AQ1464="5",BJ1464,0),2)</f>
        <v>0</v>
      </c>
      <c r="AB1464" s="34">
        <f>ROUND(IF(AQ1464="1",BH1464,0),2)</f>
        <v>0</v>
      </c>
      <c r="AC1464" s="34">
        <f>ROUND(IF(AQ1464="1",BI1464,0),2)</f>
        <v>0</v>
      </c>
      <c r="AD1464" s="34">
        <f>ROUND(IF(AQ1464="7",BH1464,0),2)</f>
        <v>0</v>
      </c>
      <c r="AE1464" s="34">
        <f>ROUND(IF(AQ1464="7",BI1464,0),2)</f>
        <v>0</v>
      </c>
      <c r="AF1464" s="34">
        <f>ROUND(IF(AQ1464="2",BH1464,0),2)</f>
        <v>0</v>
      </c>
      <c r="AG1464" s="34">
        <f>ROUND(IF(AQ1464="2",BI1464,0),2)</f>
        <v>0</v>
      </c>
      <c r="AH1464" s="34">
        <f>ROUND(IF(AQ1464="0",BJ1464,0),2)</f>
        <v>0</v>
      </c>
      <c r="AI1464" s="46" t="s">
        <v>93</v>
      </c>
      <c r="AJ1464" s="34">
        <f>IF(AN1464=0,I1464,0)</f>
        <v>0</v>
      </c>
      <c r="AK1464" s="34">
        <f>IF(AN1464=12,I1464,0)</f>
        <v>0</v>
      </c>
      <c r="AL1464" s="34">
        <f>IF(AN1464=21,I1464,0)</f>
        <v>0</v>
      </c>
      <c r="AN1464" s="34">
        <v>21</v>
      </c>
      <c r="AO1464" s="34">
        <f>H1464*0.350943396</f>
        <v>0</v>
      </c>
      <c r="AP1464" s="34">
        <f>H1464*(1-0.350943396)</f>
        <v>0</v>
      </c>
      <c r="AQ1464" s="65" t="s">
        <v>175</v>
      </c>
      <c r="AV1464" s="34">
        <f>ROUND(AW1464+AX1464,2)</f>
        <v>0</v>
      </c>
      <c r="AW1464" s="34">
        <f>ROUND(G1464*AO1464,2)</f>
        <v>0</v>
      </c>
      <c r="AX1464" s="34">
        <f>ROUND(G1464*AP1464,2)</f>
        <v>0</v>
      </c>
      <c r="AY1464" s="65" t="s">
        <v>1065</v>
      </c>
      <c r="AZ1464" s="65" t="s">
        <v>2616</v>
      </c>
      <c r="BA1464" s="46" t="s">
        <v>2557</v>
      </c>
      <c r="BC1464" s="34">
        <f>AW1464+AX1464</f>
        <v>0</v>
      </c>
      <c r="BD1464" s="34">
        <f>H1464/(100-BE1464)*100</f>
        <v>0</v>
      </c>
      <c r="BE1464" s="34">
        <v>0</v>
      </c>
      <c r="BF1464" s="34">
        <f>1464</f>
        <v>1464</v>
      </c>
      <c r="BH1464" s="34">
        <f>G1464*AO1464</f>
        <v>0</v>
      </c>
      <c r="BI1464" s="34">
        <f>G1464*AP1464</f>
        <v>0</v>
      </c>
      <c r="BJ1464" s="34">
        <f>G1464*H1464</f>
        <v>0</v>
      </c>
      <c r="BK1464" s="34"/>
      <c r="BL1464" s="34">
        <v>722</v>
      </c>
      <c r="BW1464" s="34">
        <v>21</v>
      </c>
      <c r="BX1464" s="3" t="s">
        <v>2723</v>
      </c>
    </row>
    <row r="1465" spans="1:76" x14ac:dyDescent="0.25">
      <c r="A1465" s="66"/>
      <c r="D1465" s="67" t="s">
        <v>2724</v>
      </c>
      <c r="E1465" s="67" t="s">
        <v>4</v>
      </c>
      <c r="G1465" s="68">
        <v>29</v>
      </c>
      <c r="K1465" s="59"/>
    </row>
    <row r="1466" spans="1:76" x14ac:dyDescent="0.25">
      <c r="A1466" s="1" t="s">
        <v>2725</v>
      </c>
      <c r="B1466" s="2" t="s">
        <v>93</v>
      </c>
      <c r="C1466" s="2" t="s">
        <v>2726</v>
      </c>
      <c r="D1466" s="86" t="s">
        <v>2727</v>
      </c>
      <c r="E1466" s="81"/>
      <c r="F1466" s="2" t="s">
        <v>239</v>
      </c>
      <c r="G1466" s="34">
        <v>8</v>
      </c>
      <c r="H1466" s="64">
        <v>0</v>
      </c>
      <c r="I1466" s="34">
        <f>ROUND(G1466*H1466,2)</f>
        <v>0</v>
      </c>
      <c r="J1466" s="65" t="s">
        <v>133</v>
      </c>
      <c r="K1466" s="59"/>
      <c r="Z1466" s="34">
        <f>ROUND(IF(AQ1466="5",BJ1466,0),2)</f>
        <v>0</v>
      </c>
      <c r="AB1466" s="34">
        <f>ROUND(IF(AQ1466="1",BH1466,0),2)</f>
        <v>0</v>
      </c>
      <c r="AC1466" s="34">
        <f>ROUND(IF(AQ1466="1",BI1466,0),2)</f>
        <v>0</v>
      </c>
      <c r="AD1466" s="34">
        <f>ROUND(IF(AQ1466="7",BH1466,0),2)</f>
        <v>0</v>
      </c>
      <c r="AE1466" s="34">
        <f>ROUND(IF(AQ1466="7",BI1466,0),2)</f>
        <v>0</v>
      </c>
      <c r="AF1466" s="34">
        <f>ROUND(IF(AQ1466="2",BH1466,0),2)</f>
        <v>0</v>
      </c>
      <c r="AG1466" s="34">
        <f>ROUND(IF(AQ1466="2",BI1466,0),2)</f>
        <v>0</v>
      </c>
      <c r="AH1466" s="34">
        <f>ROUND(IF(AQ1466="0",BJ1466,0),2)</f>
        <v>0</v>
      </c>
      <c r="AI1466" s="46" t="s">
        <v>93</v>
      </c>
      <c r="AJ1466" s="34">
        <f>IF(AN1466=0,I1466,0)</f>
        <v>0</v>
      </c>
      <c r="AK1466" s="34">
        <f>IF(AN1466=12,I1466,0)</f>
        <v>0</v>
      </c>
      <c r="AL1466" s="34">
        <f>IF(AN1466=21,I1466,0)</f>
        <v>0</v>
      </c>
      <c r="AN1466" s="34">
        <v>21</v>
      </c>
      <c r="AO1466" s="34">
        <f>H1466*0.469976581</f>
        <v>0</v>
      </c>
      <c r="AP1466" s="34">
        <f>H1466*(1-0.469976581)</f>
        <v>0</v>
      </c>
      <c r="AQ1466" s="65" t="s">
        <v>175</v>
      </c>
      <c r="AV1466" s="34">
        <f>ROUND(AW1466+AX1466,2)</f>
        <v>0</v>
      </c>
      <c r="AW1466" s="34">
        <f>ROUND(G1466*AO1466,2)</f>
        <v>0</v>
      </c>
      <c r="AX1466" s="34">
        <f>ROUND(G1466*AP1466,2)</f>
        <v>0</v>
      </c>
      <c r="AY1466" s="65" t="s">
        <v>1065</v>
      </c>
      <c r="AZ1466" s="65" t="s">
        <v>2616</v>
      </c>
      <c r="BA1466" s="46" t="s">
        <v>2557</v>
      </c>
      <c r="BC1466" s="34">
        <f>AW1466+AX1466</f>
        <v>0</v>
      </c>
      <c r="BD1466" s="34">
        <f>H1466/(100-BE1466)*100</f>
        <v>0</v>
      </c>
      <c r="BE1466" s="34">
        <v>0</v>
      </c>
      <c r="BF1466" s="34">
        <f>1466</f>
        <v>1466</v>
      </c>
      <c r="BH1466" s="34">
        <f>G1466*AO1466</f>
        <v>0</v>
      </c>
      <c r="BI1466" s="34">
        <f>G1466*AP1466</f>
        <v>0</v>
      </c>
      <c r="BJ1466" s="34">
        <f>G1466*H1466</f>
        <v>0</v>
      </c>
      <c r="BK1466" s="34"/>
      <c r="BL1466" s="34">
        <v>722</v>
      </c>
      <c r="BW1466" s="34">
        <v>21</v>
      </c>
      <c r="BX1466" s="3" t="s">
        <v>2727</v>
      </c>
    </row>
    <row r="1467" spans="1:76" x14ac:dyDescent="0.25">
      <c r="A1467" s="66"/>
      <c r="D1467" s="67" t="s">
        <v>182</v>
      </c>
      <c r="E1467" s="67" t="s">
        <v>4</v>
      </c>
      <c r="G1467" s="68">
        <v>8</v>
      </c>
      <c r="K1467" s="59"/>
    </row>
    <row r="1468" spans="1:76" x14ac:dyDescent="0.25">
      <c r="A1468" s="1" t="s">
        <v>2728</v>
      </c>
      <c r="B1468" s="2" t="s">
        <v>93</v>
      </c>
      <c r="C1468" s="2" t="s">
        <v>2729</v>
      </c>
      <c r="D1468" s="86" t="s">
        <v>2730</v>
      </c>
      <c r="E1468" s="81"/>
      <c r="F1468" s="2" t="s">
        <v>239</v>
      </c>
      <c r="G1468" s="34">
        <v>50</v>
      </c>
      <c r="H1468" s="64">
        <v>0</v>
      </c>
      <c r="I1468" s="34">
        <f>ROUND(G1468*H1468,2)</f>
        <v>0</v>
      </c>
      <c r="J1468" s="65" t="s">
        <v>133</v>
      </c>
      <c r="K1468" s="59"/>
      <c r="Z1468" s="34">
        <f>ROUND(IF(AQ1468="5",BJ1468,0),2)</f>
        <v>0</v>
      </c>
      <c r="AB1468" s="34">
        <f>ROUND(IF(AQ1468="1",BH1468,0),2)</f>
        <v>0</v>
      </c>
      <c r="AC1468" s="34">
        <f>ROUND(IF(AQ1468="1",BI1468,0),2)</f>
        <v>0</v>
      </c>
      <c r="AD1468" s="34">
        <f>ROUND(IF(AQ1468="7",BH1468,0),2)</f>
        <v>0</v>
      </c>
      <c r="AE1468" s="34">
        <f>ROUND(IF(AQ1468="7",BI1468,0),2)</f>
        <v>0</v>
      </c>
      <c r="AF1468" s="34">
        <f>ROUND(IF(AQ1468="2",BH1468,0),2)</f>
        <v>0</v>
      </c>
      <c r="AG1468" s="34">
        <f>ROUND(IF(AQ1468="2",BI1468,0),2)</f>
        <v>0</v>
      </c>
      <c r="AH1468" s="34">
        <f>ROUND(IF(AQ1468="0",BJ1468,0),2)</f>
        <v>0</v>
      </c>
      <c r="AI1468" s="46" t="s">
        <v>93</v>
      </c>
      <c r="AJ1468" s="34">
        <f>IF(AN1468=0,I1468,0)</f>
        <v>0</v>
      </c>
      <c r="AK1468" s="34">
        <f>IF(AN1468=12,I1468,0)</f>
        <v>0</v>
      </c>
      <c r="AL1468" s="34">
        <f>IF(AN1468=21,I1468,0)</f>
        <v>0</v>
      </c>
      <c r="AN1468" s="34">
        <v>21</v>
      </c>
      <c r="AO1468" s="34">
        <f>H1468*0.290667487</f>
        <v>0</v>
      </c>
      <c r="AP1468" s="34">
        <f>H1468*(1-0.290667487)</f>
        <v>0</v>
      </c>
      <c r="AQ1468" s="65" t="s">
        <v>175</v>
      </c>
      <c r="AV1468" s="34">
        <f>ROUND(AW1468+AX1468,2)</f>
        <v>0</v>
      </c>
      <c r="AW1468" s="34">
        <f>ROUND(G1468*AO1468,2)</f>
        <v>0</v>
      </c>
      <c r="AX1468" s="34">
        <f>ROUND(G1468*AP1468,2)</f>
        <v>0</v>
      </c>
      <c r="AY1468" s="65" t="s">
        <v>1065</v>
      </c>
      <c r="AZ1468" s="65" t="s">
        <v>2616</v>
      </c>
      <c r="BA1468" s="46" t="s">
        <v>2557</v>
      </c>
      <c r="BC1468" s="34">
        <f>AW1468+AX1468</f>
        <v>0</v>
      </c>
      <c r="BD1468" s="34">
        <f>H1468/(100-BE1468)*100</f>
        <v>0</v>
      </c>
      <c r="BE1468" s="34">
        <v>0</v>
      </c>
      <c r="BF1468" s="34">
        <f>1468</f>
        <v>1468</v>
      </c>
      <c r="BH1468" s="34">
        <f>G1468*AO1468</f>
        <v>0</v>
      </c>
      <c r="BI1468" s="34">
        <f>G1468*AP1468</f>
        <v>0</v>
      </c>
      <c r="BJ1468" s="34">
        <f>G1468*H1468</f>
        <v>0</v>
      </c>
      <c r="BK1468" s="34"/>
      <c r="BL1468" s="34">
        <v>722</v>
      </c>
      <c r="BW1468" s="34">
        <v>21</v>
      </c>
      <c r="BX1468" s="3" t="s">
        <v>2730</v>
      </c>
    </row>
    <row r="1469" spans="1:76" x14ac:dyDescent="0.25">
      <c r="A1469" s="66"/>
      <c r="D1469" s="67" t="s">
        <v>2731</v>
      </c>
      <c r="E1469" s="67" t="s">
        <v>4</v>
      </c>
      <c r="G1469" s="68">
        <v>50</v>
      </c>
      <c r="K1469" s="59"/>
    </row>
    <row r="1470" spans="1:76" x14ac:dyDescent="0.25">
      <c r="A1470" s="1" t="s">
        <v>2732</v>
      </c>
      <c r="B1470" s="2" t="s">
        <v>93</v>
      </c>
      <c r="C1470" s="2" t="s">
        <v>2733</v>
      </c>
      <c r="D1470" s="86" t="s">
        <v>2734</v>
      </c>
      <c r="E1470" s="81"/>
      <c r="F1470" s="2" t="s">
        <v>239</v>
      </c>
      <c r="G1470" s="34">
        <v>18</v>
      </c>
      <c r="H1470" s="64">
        <v>0</v>
      </c>
      <c r="I1470" s="34">
        <f>ROUND(G1470*H1470,2)</f>
        <v>0</v>
      </c>
      <c r="J1470" s="65" t="s">
        <v>133</v>
      </c>
      <c r="K1470" s="59"/>
      <c r="Z1470" s="34">
        <f>ROUND(IF(AQ1470="5",BJ1470,0),2)</f>
        <v>0</v>
      </c>
      <c r="AB1470" s="34">
        <f>ROUND(IF(AQ1470="1",BH1470,0),2)</f>
        <v>0</v>
      </c>
      <c r="AC1470" s="34">
        <f>ROUND(IF(AQ1470="1",BI1470,0),2)</f>
        <v>0</v>
      </c>
      <c r="AD1470" s="34">
        <f>ROUND(IF(AQ1470="7",BH1470,0),2)</f>
        <v>0</v>
      </c>
      <c r="AE1470" s="34">
        <f>ROUND(IF(AQ1470="7",BI1470,0),2)</f>
        <v>0</v>
      </c>
      <c r="AF1470" s="34">
        <f>ROUND(IF(AQ1470="2",BH1470,0),2)</f>
        <v>0</v>
      </c>
      <c r="AG1470" s="34">
        <f>ROUND(IF(AQ1470="2",BI1470,0),2)</f>
        <v>0</v>
      </c>
      <c r="AH1470" s="34">
        <f>ROUND(IF(AQ1470="0",BJ1470,0),2)</f>
        <v>0</v>
      </c>
      <c r="AI1470" s="46" t="s">
        <v>93</v>
      </c>
      <c r="AJ1470" s="34">
        <f>IF(AN1470=0,I1470,0)</f>
        <v>0</v>
      </c>
      <c r="AK1470" s="34">
        <f>IF(AN1470=12,I1470,0)</f>
        <v>0</v>
      </c>
      <c r="AL1470" s="34">
        <f>IF(AN1470=21,I1470,0)</f>
        <v>0</v>
      </c>
      <c r="AN1470" s="34">
        <v>21</v>
      </c>
      <c r="AO1470" s="34">
        <f>H1470*0.382465753</f>
        <v>0</v>
      </c>
      <c r="AP1470" s="34">
        <f>H1470*(1-0.382465753)</f>
        <v>0</v>
      </c>
      <c r="AQ1470" s="65" t="s">
        <v>175</v>
      </c>
      <c r="AV1470" s="34">
        <f>ROUND(AW1470+AX1470,2)</f>
        <v>0</v>
      </c>
      <c r="AW1470" s="34">
        <f>ROUND(G1470*AO1470,2)</f>
        <v>0</v>
      </c>
      <c r="AX1470" s="34">
        <f>ROUND(G1470*AP1470,2)</f>
        <v>0</v>
      </c>
      <c r="AY1470" s="65" t="s">
        <v>1065</v>
      </c>
      <c r="AZ1470" s="65" t="s">
        <v>2616</v>
      </c>
      <c r="BA1470" s="46" t="s">
        <v>2557</v>
      </c>
      <c r="BC1470" s="34">
        <f>AW1470+AX1470</f>
        <v>0</v>
      </c>
      <c r="BD1470" s="34">
        <f>H1470/(100-BE1470)*100</f>
        <v>0</v>
      </c>
      <c r="BE1470" s="34">
        <v>0</v>
      </c>
      <c r="BF1470" s="34">
        <f>1470</f>
        <v>1470</v>
      </c>
      <c r="BH1470" s="34">
        <f>G1470*AO1470</f>
        <v>0</v>
      </c>
      <c r="BI1470" s="34">
        <f>G1470*AP1470</f>
        <v>0</v>
      </c>
      <c r="BJ1470" s="34">
        <f>G1470*H1470</f>
        <v>0</v>
      </c>
      <c r="BK1470" s="34"/>
      <c r="BL1470" s="34">
        <v>722</v>
      </c>
      <c r="BW1470" s="34">
        <v>21</v>
      </c>
      <c r="BX1470" s="3" t="s">
        <v>2734</v>
      </c>
    </row>
    <row r="1471" spans="1:76" x14ac:dyDescent="0.25">
      <c r="A1471" s="66"/>
      <c r="D1471" s="67" t="s">
        <v>2735</v>
      </c>
      <c r="E1471" s="67" t="s">
        <v>4</v>
      </c>
      <c r="G1471" s="68">
        <v>18</v>
      </c>
      <c r="K1471" s="59"/>
    </row>
    <row r="1472" spans="1:76" x14ac:dyDescent="0.25">
      <c r="A1472" s="1" t="s">
        <v>2736</v>
      </c>
      <c r="B1472" s="2" t="s">
        <v>93</v>
      </c>
      <c r="C1472" s="2" t="s">
        <v>2737</v>
      </c>
      <c r="D1472" s="86" t="s">
        <v>2738</v>
      </c>
      <c r="E1472" s="81"/>
      <c r="F1472" s="2" t="s">
        <v>239</v>
      </c>
      <c r="G1472" s="34">
        <v>50</v>
      </c>
      <c r="H1472" s="64">
        <v>0</v>
      </c>
      <c r="I1472" s="34">
        <f>ROUND(G1472*H1472,2)</f>
        <v>0</v>
      </c>
      <c r="J1472" s="65" t="s">
        <v>133</v>
      </c>
      <c r="K1472" s="59"/>
      <c r="Z1472" s="34">
        <f>ROUND(IF(AQ1472="5",BJ1472,0),2)</f>
        <v>0</v>
      </c>
      <c r="AB1472" s="34">
        <f>ROUND(IF(AQ1472="1",BH1472,0),2)</f>
        <v>0</v>
      </c>
      <c r="AC1472" s="34">
        <f>ROUND(IF(AQ1472="1",BI1472,0),2)</f>
        <v>0</v>
      </c>
      <c r="AD1472" s="34">
        <f>ROUND(IF(AQ1472="7",BH1472,0),2)</f>
        <v>0</v>
      </c>
      <c r="AE1472" s="34">
        <f>ROUND(IF(AQ1472="7",BI1472,0),2)</f>
        <v>0</v>
      </c>
      <c r="AF1472" s="34">
        <f>ROUND(IF(AQ1472="2",BH1472,0),2)</f>
        <v>0</v>
      </c>
      <c r="AG1472" s="34">
        <f>ROUND(IF(AQ1472="2",BI1472,0),2)</f>
        <v>0</v>
      </c>
      <c r="AH1472" s="34">
        <f>ROUND(IF(AQ1472="0",BJ1472,0),2)</f>
        <v>0</v>
      </c>
      <c r="AI1472" s="46" t="s">
        <v>93</v>
      </c>
      <c r="AJ1472" s="34">
        <f>IF(AN1472=0,I1472,0)</f>
        <v>0</v>
      </c>
      <c r="AK1472" s="34">
        <f>IF(AN1472=12,I1472,0)</f>
        <v>0</v>
      </c>
      <c r="AL1472" s="34">
        <f>IF(AN1472=21,I1472,0)</f>
        <v>0</v>
      </c>
      <c r="AN1472" s="34">
        <v>21</v>
      </c>
      <c r="AO1472" s="34">
        <f>H1472*0.243590678</f>
        <v>0</v>
      </c>
      <c r="AP1472" s="34">
        <f>H1472*(1-0.243590678)</f>
        <v>0</v>
      </c>
      <c r="AQ1472" s="65" t="s">
        <v>175</v>
      </c>
      <c r="AV1472" s="34">
        <f>ROUND(AW1472+AX1472,2)</f>
        <v>0</v>
      </c>
      <c r="AW1472" s="34">
        <f>ROUND(G1472*AO1472,2)</f>
        <v>0</v>
      </c>
      <c r="AX1472" s="34">
        <f>ROUND(G1472*AP1472,2)</f>
        <v>0</v>
      </c>
      <c r="AY1472" s="65" t="s">
        <v>1065</v>
      </c>
      <c r="AZ1472" s="65" t="s">
        <v>2616</v>
      </c>
      <c r="BA1472" s="46" t="s">
        <v>2557</v>
      </c>
      <c r="BC1472" s="34">
        <f>AW1472+AX1472</f>
        <v>0</v>
      </c>
      <c r="BD1472" s="34">
        <f>H1472/(100-BE1472)*100</f>
        <v>0</v>
      </c>
      <c r="BE1472" s="34">
        <v>0</v>
      </c>
      <c r="BF1472" s="34">
        <f>1472</f>
        <v>1472</v>
      </c>
      <c r="BH1472" s="34">
        <f>G1472*AO1472</f>
        <v>0</v>
      </c>
      <c r="BI1472" s="34">
        <f>G1472*AP1472</f>
        <v>0</v>
      </c>
      <c r="BJ1472" s="34">
        <f>G1472*H1472</f>
        <v>0</v>
      </c>
      <c r="BK1472" s="34"/>
      <c r="BL1472" s="34">
        <v>722</v>
      </c>
      <c r="BW1472" s="34">
        <v>21</v>
      </c>
      <c r="BX1472" s="3" t="s">
        <v>2738</v>
      </c>
    </row>
    <row r="1473" spans="1:76" x14ac:dyDescent="0.25">
      <c r="A1473" s="66"/>
      <c r="D1473" s="67" t="s">
        <v>2731</v>
      </c>
      <c r="E1473" s="67" t="s">
        <v>4</v>
      </c>
      <c r="G1473" s="68">
        <v>50</v>
      </c>
      <c r="K1473" s="59"/>
    </row>
    <row r="1474" spans="1:76" x14ac:dyDescent="0.25">
      <c r="A1474" s="1" t="s">
        <v>2739</v>
      </c>
      <c r="B1474" s="2" t="s">
        <v>93</v>
      </c>
      <c r="C1474" s="2" t="s">
        <v>2740</v>
      </c>
      <c r="D1474" s="86" t="s">
        <v>2741</v>
      </c>
      <c r="E1474" s="81"/>
      <c r="F1474" s="2" t="s">
        <v>239</v>
      </c>
      <c r="G1474" s="34">
        <v>13</v>
      </c>
      <c r="H1474" s="64">
        <v>0</v>
      </c>
      <c r="I1474" s="34">
        <f>ROUND(G1474*H1474,2)</f>
        <v>0</v>
      </c>
      <c r="J1474" s="65" t="s">
        <v>133</v>
      </c>
      <c r="K1474" s="59"/>
      <c r="Z1474" s="34">
        <f>ROUND(IF(AQ1474="5",BJ1474,0),2)</f>
        <v>0</v>
      </c>
      <c r="AB1474" s="34">
        <f>ROUND(IF(AQ1474="1",BH1474,0),2)</f>
        <v>0</v>
      </c>
      <c r="AC1474" s="34">
        <f>ROUND(IF(AQ1474="1",BI1474,0),2)</f>
        <v>0</v>
      </c>
      <c r="AD1474" s="34">
        <f>ROUND(IF(AQ1474="7",BH1474,0),2)</f>
        <v>0</v>
      </c>
      <c r="AE1474" s="34">
        <f>ROUND(IF(AQ1474="7",BI1474,0),2)</f>
        <v>0</v>
      </c>
      <c r="AF1474" s="34">
        <f>ROUND(IF(AQ1474="2",BH1474,0),2)</f>
        <v>0</v>
      </c>
      <c r="AG1474" s="34">
        <f>ROUND(IF(AQ1474="2",BI1474,0),2)</f>
        <v>0</v>
      </c>
      <c r="AH1474" s="34">
        <f>ROUND(IF(AQ1474="0",BJ1474,0),2)</f>
        <v>0</v>
      </c>
      <c r="AI1474" s="46" t="s">
        <v>93</v>
      </c>
      <c r="AJ1474" s="34">
        <f>IF(AN1474=0,I1474,0)</f>
        <v>0</v>
      </c>
      <c r="AK1474" s="34">
        <f>IF(AN1474=12,I1474,0)</f>
        <v>0</v>
      </c>
      <c r="AL1474" s="34">
        <f>IF(AN1474=21,I1474,0)</f>
        <v>0</v>
      </c>
      <c r="AN1474" s="34">
        <v>21</v>
      </c>
      <c r="AO1474" s="34">
        <f>H1474*0.324203346</f>
        <v>0</v>
      </c>
      <c r="AP1474" s="34">
        <f>H1474*(1-0.324203346)</f>
        <v>0</v>
      </c>
      <c r="AQ1474" s="65" t="s">
        <v>175</v>
      </c>
      <c r="AV1474" s="34">
        <f>ROUND(AW1474+AX1474,2)</f>
        <v>0</v>
      </c>
      <c r="AW1474" s="34">
        <f>ROUND(G1474*AO1474,2)</f>
        <v>0</v>
      </c>
      <c r="AX1474" s="34">
        <f>ROUND(G1474*AP1474,2)</f>
        <v>0</v>
      </c>
      <c r="AY1474" s="65" t="s">
        <v>1065</v>
      </c>
      <c r="AZ1474" s="65" t="s">
        <v>2616</v>
      </c>
      <c r="BA1474" s="46" t="s">
        <v>2557</v>
      </c>
      <c r="BC1474" s="34">
        <f>AW1474+AX1474</f>
        <v>0</v>
      </c>
      <c r="BD1474" s="34">
        <f>H1474/(100-BE1474)*100</f>
        <v>0</v>
      </c>
      <c r="BE1474" s="34">
        <v>0</v>
      </c>
      <c r="BF1474" s="34">
        <f>1474</f>
        <v>1474</v>
      </c>
      <c r="BH1474" s="34">
        <f>G1474*AO1474</f>
        <v>0</v>
      </c>
      <c r="BI1474" s="34">
        <f>G1474*AP1474</f>
        <v>0</v>
      </c>
      <c r="BJ1474" s="34">
        <f>G1474*H1474</f>
        <v>0</v>
      </c>
      <c r="BK1474" s="34"/>
      <c r="BL1474" s="34">
        <v>722</v>
      </c>
      <c r="BW1474" s="34">
        <v>21</v>
      </c>
      <c r="BX1474" s="3" t="s">
        <v>2741</v>
      </c>
    </row>
    <row r="1475" spans="1:76" x14ac:dyDescent="0.25">
      <c r="A1475" s="66"/>
      <c r="D1475" s="67" t="s">
        <v>2742</v>
      </c>
      <c r="E1475" s="67" t="s">
        <v>4</v>
      </c>
      <c r="G1475" s="68">
        <v>13</v>
      </c>
      <c r="K1475" s="59"/>
    </row>
    <row r="1476" spans="1:76" x14ac:dyDescent="0.25">
      <c r="A1476" s="1" t="s">
        <v>2743</v>
      </c>
      <c r="B1476" s="2" t="s">
        <v>93</v>
      </c>
      <c r="C1476" s="2" t="s">
        <v>2744</v>
      </c>
      <c r="D1476" s="86" t="s">
        <v>2745</v>
      </c>
      <c r="E1476" s="81"/>
      <c r="F1476" s="2" t="s">
        <v>239</v>
      </c>
      <c r="G1476" s="34">
        <v>30</v>
      </c>
      <c r="H1476" s="64">
        <v>0</v>
      </c>
      <c r="I1476" s="34">
        <f>ROUND(G1476*H1476,2)</f>
        <v>0</v>
      </c>
      <c r="J1476" s="65" t="s">
        <v>133</v>
      </c>
      <c r="K1476" s="59"/>
      <c r="Z1476" s="34">
        <f>ROUND(IF(AQ1476="5",BJ1476,0),2)</f>
        <v>0</v>
      </c>
      <c r="AB1476" s="34">
        <f>ROUND(IF(AQ1476="1",BH1476,0),2)</f>
        <v>0</v>
      </c>
      <c r="AC1476" s="34">
        <f>ROUND(IF(AQ1476="1",BI1476,0),2)</f>
        <v>0</v>
      </c>
      <c r="AD1476" s="34">
        <f>ROUND(IF(AQ1476="7",BH1476,0),2)</f>
        <v>0</v>
      </c>
      <c r="AE1476" s="34">
        <f>ROUND(IF(AQ1476="7",BI1476,0),2)</f>
        <v>0</v>
      </c>
      <c r="AF1476" s="34">
        <f>ROUND(IF(AQ1476="2",BH1476,0),2)</f>
        <v>0</v>
      </c>
      <c r="AG1476" s="34">
        <f>ROUND(IF(AQ1476="2",BI1476,0),2)</f>
        <v>0</v>
      </c>
      <c r="AH1476" s="34">
        <f>ROUND(IF(AQ1476="0",BJ1476,0),2)</f>
        <v>0</v>
      </c>
      <c r="AI1476" s="46" t="s">
        <v>93</v>
      </c>
      <c r="AJ1476" s="34">
        <f>IF(AN1476=0,I1476,0)</f>
        <v>0</v>
      </c>
      <c r="AK1476" s="34">
        <f>IF(AN1476=12,I1476,0)</f>
        <v>0</v>
      </c>
      <c r="AL1476" s="34">
        <f>IF(AN1476=21,I1476,0)</f>
        <v>0</v>
      </c>
      <c r="AN1476" s="34">
        <v>21</v>
      </c>
      <c r="AO1476" s="34">
        <f>H1476*0.502438832</f>
        <v>0</v>
      </c>
      <c r="AP1476" s="34">
        <f>H1476*(1-0.502438832)</f>
        <v>0</v>
      </c>
      <c r="AQ1476" s="65" t="s">
        <v>175</v>
      </c>
      <c r="AV1476" s="34">
        <f>ROUND(AW1476+AX1476,2)</f>
        <v>0</v>
      </c>
      <c r="AW1476" s="34">
        <f>ROUND(G1476*AO1476,2)</f>
        <v>0</v>
      </c>
      <c r="AX1476" s="34">
        <f>ROUND(G1476*AP1476,2)</f>
        <v>0</v>
      </c>
      <c r="AY1476" s="65" t="s">
        <v>1065</v>
      </c>
      <c r="AZ1476" s="65" t="s">
        <v>2616</v>
      </c>
      <c r="BA1476" s="46" t="s">
        <v>2557</v>
      </c>
      <c r="BC1476" s="34">
        <f>AW1476+AX1476</f>
        <v>0</v>
      </c>
      <c r="BD1476" s="34">
        <f>H1476/(100-BE1476)*100</f>
        <v>0</v>
      </c>
      <c r="BE1476" s="34">
        <v>0</v>
      </c>
      <c r="BF1476" s="34">
        <f>1476</f>
        <v>1476</v>
      </c>
      <c r="BH1476" s="34">
        <f>G1476*AO1476</f>
        <v>0</v>
      </c>
      <c r="BI1476" s="34">
        <f>G1476*AP1476</f>
        <v>0</v>
      </c>
      <c r="BJ1476" s="34">
        <f>G1476*H1476</f>
        <v>0</v>
      </c>
      <c r="BK1476" s="34"/>
      <c r="BL1476" s="34">
        <v>722</v>
      </c>
      <c r="BW1476" s="34">
        <v>21</v>
      </c>
      <c r="BX1476" s="3" t="s">
        <v>2745</v>
      </c>
    </row>
    <row r="1477" spans="1:76" x14ac:dyDescent="0.25">
      <c r="A1477" s="66"/>
      <c r="D1477" s="67" t="s">
        <v>2746</v>
      </c>
      <c r="E1477" s="67" t="s">
        <v>4</v>
      </c>
      <c r="G1477" s="68">
        <v>30</v>
      </c>
      <c r="K1477" s="59"/>
    </row>
    <row r="1478" spans="1:76" x14ac:dyDescent="0.25">
      <c r="A1478" s="1" t="s">
        <v>2747</v>
      </c>
      <c r="B1478" s="2" t="s">
        <v>93</v>
      </c>
      <c r="C1478" s="2" t="s">
        <v>2748</v>
      </c>
      <c r="D1478" s="86" t="s">
        <v>2749</v>
      </c>
      <c r="E1478" s="81"/>
      <c r="F1478" s="2" t="s">
        <v>239</v>
      </c>
      <c r="G1478" s="34">
        <v>3</v>
      </c>
      <c r="H1478" s="64">
        <v>0</v>
      </c>
      <c r="I1478" s="34">
        <f>ROUND(G1478*H1478,2)</f>
        <v>0</v>
      </c>
      <c r="J1478" s="65" t="s">
        <v>133</v>
      </c>
      <c r="K1478" s="59"/>
      <c r="Z1478" s="34">
        <f>ROUND(IF(AQ1478="5",BJ1478,0),2)</f>
        <v>0</v>
      </c>
      <c r="AB1478" s="34">
        <f>ROUND(IF(AQ1478="1",BH1478,0),2)</f>
        <v>0</v>
      </c>
      <c r="AC1478" s="34">
        <f>ROUND(IF(AQ1478="1",BI1478,0),2)</f>
        <v>0</v>
      </c>
      <c r="AD1478" s="34">
        <f>ROUND(IF(AQ1478="7",BH1478,0),2)</f>
        <v>0</v>
      </c>
      <c r="AE1478" s="34">
        <f>ROUND(IF(AQ1478="7",BI1478,0),2)</f>
        <v>0</v>
      </c>
      <c r="AF1478" s="34">
        <f>ROUND(IF(AQ1478="2",BH1478,0),2)</f>
        <v>0</v>
      </c>
      <c r="AG1478" s="34">
        <f>ROUND(IF(AQ1478="2",BI1478,0),2)</f>
        <v>0</v>
      </c>
      <c r="AH1478" s="34">
        <f>ROUND(IF(AQ1478="0",BJ1478,0),2)</f>
        <v>0</v>
      </c>
      <c r="AI1478" s="46" t="s">
        <v>93</v>
      </c>
      <c r="AJ1478" s="34">
        <f>IF(AN1478=0,I1478,0)</f>
        <v>0</v>
      </c>
      <c r="AK1478" s="34">
        <f>IF(AN1478=12,I1478,0)</f>
        <v>0</v>
      </c>
      <c r="AL1478" s="34">
        <f>IF(AN1478=21,I1478,0)</f>
        <v>0</v>
      </c>
      <c r="AN1478" s="34">
        <v>21</v>
      </c>
      <c r="AO1478" s="34">
        <f>H1478*0.464434948</f>
        <v>0</v>
      </c>
      <c r="AP1478" s="34">
        <f>H1478*(1-0.464434948)</f>
        <v>0</v>
      </c>
      <c r="AQ1478" s="65" t="s">
        <v>175</v>
      </c>
      <c r="AV1478" s="34">
        <f>ROUND(AW1478+AX1478,2)</f>
        <v>0</v>
      </c>
      <c r="AW1478" s="34">
        <f>ROUND(G1478*AO1478,2)</f>
        <v>0</v>
      </c>
      <c r="AX1478" s="34">
        <f>ROUND(G1478*AP1478,2)</f>
        <v>0</v>
      </c>
      <c r="AY1478" s="65" t="s">
        <v>1065</v>
      </c>
      <c r="AZ1478" s="65" t="s">
        <v>2616</v>
      </c>
      <c r="BA1478" s="46" t="s">
        <v>2557</v>
      </c>
      <c r="BC1478" s="34">
        <f>AW1478+AX1478</f>
        <v>0</v>
      </c>
      <c r="BD1478" s="34">
        <f>H1478/(100-BE1478)*100</f>
        <v>0</v>
      </c>
      <c r="BE1478" s="34">
        <v>0</v>
      </c>
      <c r="BF1478" s="34">
        <f>1478</f>
        <v>1478</v>
      </c>
      <c r="BH1478" s="34">
        <f>G1478*AO1478</f>
        <v>0</v>
      </c>
      <c r="BI1478" s="34">
        <f>G1478*AP1478</f>
        <v>0</v>
      </c>
      <c r="BJ1478" s="34">
        <f>G1478*H1478</f>
        <v>0</v>
      </c>
      <c r="BK1478" s="34"/>
      <c r="BL1478" s="34">
        <v>722</v>
      </c>
      <c r="BW1478" s="34">
        <v>21</v>
      </c>
      <c r="BX1478" s="3" t="s">
        <v>2749</v>
      </c>
    </row>
    <row r="1479" spans="1:76" x14ac:dyDescent="0.25">
      <c r="A1479" s="66"/>
      <c r="D1479" s="67" t="s">
        <v>148</v>
      </c>
      <c r="E1479" s="67" t="s">
        <v>4</v>
      </c>
      <c r="G1479" s="68">
        <v>3</v>
      </c>
      <c r="K1479" s="59"/>
    </row>
    <row r="1480" spans="1:76" x14ac:dyDescent="0.25">
      <c r="A1480" s="1" t="s">
        <v>2750</v>
      </c>
      <c r="B1480" s="2" t="s">
        <v>93</v>
      </c>
      <c r="C1480" s="2" t="s">
        <v>2751</v>
      </c>
      <c r="D1480" s="86" t="s">
        <v>2752</v>
      </c>
      <c r="E1480" s="81"/>
      <c r="F1480" s="2" t="s">
        <v>239</v>
      </c>
      <c r="G1480" s="34">
        <v>22</v>
      </c>
      <c r="H1480" s="64">
        <v>0</v>
      </c>
      <c r="I1480" s="34">
        <f>ROUND(G1480*H1480,2)</f>
        <v>0</v>
      </c>
      <c r="J1480" s="65" t="s">
        <v>133</v>
      </c>
      <c r="K1480" s="59"/>
      <c r="Z1480" s="34">
        <f>ROUND(IF(AQ1480="5",BJ1480,0),2)</f>
        <v>0</v>
      </c>
      <c r="AB1480" s="34">
        <f>ROUND(IF(AQ1480="1",BH1480,0),2)</f>
        <v>0</v>
      </c>
      <c r="AC1480" s="34">
        <f>ROUND(IF(AQ1480="1",BI1480,0),2)</f>
        <v>0</v>
      </c>
      <c r="AD1480" s="34">
        <f>ROUND(IF(AQ1480="7",BH1480,0),2)</f>
        <v>0</v>
      </c>
      <c r="AE1480" s="34">
        <f>ROUND(IF(AQ1480="7",BI1480,0),2)</f>
        <v>0</v>
      </c>
      <c r="AF1480" s="34">
        <f>ROUND(IF(AQ1480="2",BH1480,0),2)</f>
        <v>0</v>
      </c>
      <c r="AG1480" s="34">
        <f>ROUND(IF(AQ1480="2",BI1480,0),2)</f>
        <v>0</v>
      </c>
      <c r="AH1480" s="34">
        <f>ROUND(IF(AQ1480="0",BJ1480,0),2)</f>
        <v>0</v>
      </c>
      <c r="AI1480" s="46" t="s">
        <v>93</v>
      </c>
      <c r="AJ1480" s="34">
        <f>IF(AN1480=0,I1480,0)</f>
        <v>0</v>
      </c>
      <c r="AK1480" s="34">
        <f>IF(AN1480=12,I1480,0)</f>
        <v>0</v>
      </c>
      <c r="AL1480" s="34">
        <f>IF(AN1480=21,I1480,0)</f>
        <v>0</v>
      </c>
      <c r="AN1480" s="34">
        <v>21</v>
      </c>
      <c r="AO1480" s="34">
        <f>H1480*0.431912198</f>
        <v>0</v>
      </c>
      <c r="AP1480" s="34">
        <f>H1480*(1-0.431912198)</f>
        <v>0</v>
      </c>
      <c r="AQ1480" s="65" t="s">
        <v>175</v>
      </c>
      <c r="AV1480" s="34">
        <f>ROUND(AW1480+AX1480,2)</f>
        <v>0</v>
      </c>
      <c r="AW1480" s="34">
        <f>ROUND(G1480*AO1480,2)</f>
        <v>0</v>
      </c>
      <c r="AX1480" s="34">
        <f>ROUND(G1480*AP1480,2)</f>
        <v>0</v>
      </c>
      <c r="AY1480" s="65" t="s">
        <v>1065</v>
      </c>
      <c r="AZ1480" s="65" t="s">
        <v>2616</v>
      </c>
      <c r="BA1480" s="46" t="s">
        <v>2557</v>
      </c>
      <c r="BC1480" s="34">
        <f>AW1480+AX1480</f>
        <v>0</v>
      </c>
      <c r="BD1480" s="34">
        <f>H1480/(100-BE1480)*100</f>
        <v>0</v>
      </c>
      <c r="BE1480" s="34">
        <v>0</v>
      </c>
      <c r="BF1480" s="34">
        <f>1480</f>
        <v>1480</v>
      </c>
      <c r="BH1480" s="34">
        <f>G1480*AO1480</f>
        <v>0</v>
      </c>
      <c r="BI1480" s="34">
        <f>G1480*AP1480</f>
        <v>0</v>
      </c>
      <c r="BJ1480" s="34">
        <f>G1480*H1480</f>
        <v>0</v>
      </c>
      <c r="BK1480" s="34"/>
      <c r="BL1480" s="34">
        <v>722</v>
      </c>
      <c r="BW1480" s="34">
        <v>21</v>
      </c>
      <c r="BX1480" s="3" t="s">
        <v>2752</v>
      </c>
    </row>
    <row r="1481" spans="1:76" x14ac:dyDescent="0.25">
      <c r="A1481" s="66"/>
      <c r="D1481" s="67" t="s">
        <v>279</v>
      </c>
      <c r="E1481" s="67" t="s">
        <v>4</v>
      </c>
      <c r="G1481" s="68">
        <v>22</v>
      </c>
      <c r="K1481" s="59"/>
    </row>
    <row r="1482" spans="1:76" x14ac:dyDescent="0.25">
      <c r="A1482" s="1" t="s">
        <v>2753</v>
      </c>
      <c r="B1482" s="2" t="s">
        <v>93</v>
      </c>
      <c r="C1482" s="2" t="s">
        <v>2754</v>
      </c>
      <c r="D1482" s="86" t="s">
        <v>2755</v>
      </c>
      <c r="E1482" s="81"/>
      <c r="F1482" s="2" t="s">
        <v>239</v>
      </c>
      <c r="G1482" s="34">
        <v>35</v>
      </c>
      <c r="H1482" s="64">
        <v>0</v>
      </c>
      <c r="I1482" s="34">
        <f>ROUND(G1482*H1482,2)</f>
        <v>0</v>
      </c>
      <c r="J1482" s="65" t="s">
        <v>133</v>
      </c>
      <c r="K1482" s="59"/>
      <c r="Z1482" s="34">
        <f>ROUND(IF(AQ1482="5",BJ1482,0),2)</f>
        <v>0</v>
      </c>
      <c r="AB1482" s="34">
        <f>ROUND(IF(AQ1482="1",BH1482,0),2)</f>
        <v>0</v>
      </c>
      <c r="AC1482" s="34">
        <f>ROUND(IF(AQ1482="1",BI1482,0),2)</f>
        <v>0</v>
      </c>
      <c r="AD1482" s="34">
        <f>ROUND(IF(AQ1482="7",BH1482,0),2)</f>
        <v>0</v>
      </c>
      <c r="AE1482" s="34">
        <f>ROUND(IF(AQ1482="7",BI1482,0),2)</f>
        <v>0</v>
      </c>
      <c r="AF1482" s="34">
        <f>ROUND(IF(AQ1482="2",BH1482,0),2)</f>
        <v>0</v>
      </c>
      <c r="AG1482" s="34">
        <f>ROUND(IF(AQ1482="2",BI1482,0),2)</f>
        <v>0</v>
      </c>
      <c r="AH1482" s="34">
        <f>ROUND(IF(AQ1482="0",BJ1482,0),2)</f>
        <v>0</v>
      </c>
      <c r="AI1482" s="46" t="s">
        <v>93</v>
      </c>
      <c r="AJ1482" s="34">
        <f>IF(AN1482=0,I1482,0)</f>
        <v>0</v>
      </c>
      <c r="AK1482" s="34">
        <f>IF(AN1482=12,I1482,0)</f>
        <v>0</v>
      </c>
      <c r="AL1482" s="34">
        <f>IF(AN1482=21,I1482,0)</f>
        <v>0</v>
      </c>
      <c r="AN1482" s="34">
        <v>21</v>
      </c>
      <c r="AO1482" s="34">
        <f>H1482*0.382026171</f>
        <v>0</v>
      </c>
      <c r="AP1482" s="34">
        <f>H1482*(1-0.382026171)</f>
        <v>0</v>
      </c>
      <c r="AQ1482" s="65" t="s">
        <v>175</v>
      </c>
      <c r="AV1482" s="34">
        <f>ROUND(AW1482+AX1482,2)</f>
        <v>0</v>
      </c>
      <c r="AW1482" s="34">
        <f>ROUND(G1482*AO1482,2)</f>
        <v>0</v>
      </c>
      <c r="AX1482" s="34">
        <f>ROUND(G1482*AP1482,2)</f>
        <v>0</v>
      </c>
      <c r="AY1482" s="65" t="s">
        <v>1065</v>
      </c>
      <c r="AZ1482" s="65" t="s">
        <v>2616</v>
      </c>
      <c r="BA1482" s="46" t="s">
        <v>2557</v>
      </c>
      <c r="BC1482" s="34">
        <f>AW1482+AX1482</f>
        <v>0</v>
      </c>
      <c r="BD1482" s="34">
        <f>H1482/(100-BE1482)*100</f>
        <v>0</v>
      </c>
      <c r="BE1482" s="34">
        <v>0</v>
      </c>
      <c r="BF1482" s="34">
        <f>1482</f>
        <v>1482</v>
      </c>
      <c r="BH1482" s="34">
        <f>G1482*AO1482</f>
        <v>0</v>
      </c>
      <c r="BI1482" s="34">
        <f>G1482*AP1482</f>
        <v>0</v>
      </c>
      <c r="BJ1482" s="34">
        <f>G1482*H1482</f>
        <v>0</v>
      </c>
      <c r="BK1482" s="34"/>
      <c r="BL1482" s="34">
        <v>722</v>
      </c>
      <c r="BW1482" s="34">
        <v>21</v>
      </c>
      <c r="BX1482" s="3" t="s">
        <v>2755</v>
      </c>
    </row>
    <row r="1483" spans="1:76" ht="13.5" customHeight="1" x14ac:dyDescent="0.25">
      <c r="A1483" s="66"/>
      <c r="C1483" s="69" t="s">
        <v>204</v>
      </c>
      <c r="D1483" s="169" t="s">
        <v>2756</v>
      </c>
      <c r="E1483" s="170"/>
      <c r="F1483" s="170"/>
      <c r="G1483" s="170"/>
      <c r="H1483" s="171"/>
      <c r="I1483" s="170"/>
      <c r="J1483" s="170"/>
      <c r="K1483" s="172"/>
    </row>
    <row r="1484" spans="1:76" x14ac:dyDescent="0.25">
      <c r="A1484" s="66"/>
      <c r="D1484" s="67" t="s">
        <v>375</v>
      </c>
      <c r="E1484" s="67" t="s">
        <v>4</v>
      </c>
      <c r="G1484" s="68">
        <v>35</v>
      </c>
      <c r="K1484" s="59"/>
    </row>
    <row r="1485" spans="1:76" x14ac:dyDescent="0.25">
      <c r="A1485" s="1" t="s">
        <v>2757</v>
      </c>
      <c r="B1485" s="2" t="s">
        <v>93</v>
      </c>
      <c r="C1485" s="2" t="s">
        <v>2758</v>
      </c>
      <c r="D1485" s="86" t="s">
        <v>2755</v>
      </c>
      <c r="E1485" s="81"/>
      <c r="F1485" s="2" t="s">
        <v>239</v>
      </c>
      <c r="G1485" s="34">
        <v>38</v>
      </c>
      <c r="H1485" s="64">
        <v>0</v>
      </c>
      <c r="I1485" s="34">
        <f>ROUND(G1485*H1485,2)</f>
        <v>0</v>
      </c>
      <c r="J1485" s="65" t="s">
        <v>133</v>
      </c>
      <c r="K1485" s="59"/>
      <c r="Z1485" s="34">
        <f>ROUND(IF(AQ1485="5",BJ1485,0),2)</f>
        <v>0</v>
      </c>
      <c r="AB1485" s="34">
        <f>ROUND(IF(AQ1485="1",BH1485,0),2)</f>
        <v>0</v>
      </c>
      <c r="AC1485" s="34">
        <f>ROUND(IF(AQ1485="1",BI1485,0),2)</f>
        <v>0</v>
      </c>
      <c r="AD1485" s="34">
        <f>ROUND(IF(AQ1485="7",BH1485,0),2)</f>
        <v>0</v>
      </c>
      <c r="AE1485" s="34">
        <f>ROUND(IF(AQ1485="7",BI1485,0),2)</f>
        <v>0</v>
      </c>
      <c r="AF1485" s="34">
        <f>ROUND(IF(AQ1485="2",BH1485,0),2)</f>
        <v>0</v>
      </c>
      <c r="AG1485" s="34">
        <f>ROUND(IF(AQ1485="2",BI1485,0),2)</f>
        <v>0</v>
      </c>
      <c r="AH1485" s="34">
        <f>ROUND(IF(AQ1485="0",BJ1485,0),2)</f>
        <v>0</v>
      </c>
      <c r="AI1485" s="46" t="s">
        <v>93</v>
      </c>
      <c r="AJ1485" s="34">
        <f>IF(AN1485=0,I1485,0)</f>
        <v>0</v>
      </c>
      <c r="AK1485" s="34">
        <f>IF(AN1485=12,I1485,0)</f>
        <v>0</v>
      </c>
      <c r="AL1485" s="34">
        <f>IF(AN1485=21,I1485,0)</f>
        <v>0</v>
      </c>
      <c r="AN1485" s="34">
        <v>21</v>
      </c>
      <c r="AO1485" s="34">
        <f>H1485*0.406450083</f>
        <v>0</v>
      </c>
      <c r="AP1485" s="34">
        <f>H1485*(1-0.406450083)</f>
        <v>0</v>
      </c>
      <c r="AQ1485" s="65" t="s">
        <v>175</v>
      </c>
      <c r="AV1485" s="34">
        <f>ROUND(AW1485+AX1485,2)</f>
        <v>0</v>
      </c>
      <c r="AW1485" s="34">
        <f>ROUND(G1485*AO1485,2)</f>
        <v>0</v>
      </c>
      <c r="AX1485" s="34">
        <f>ROUND(G1485*AP1485,2)</f>
        <v>0</v>
      </c>
      <c r="AY1485" s="65" t="s">
        <v>1065</v>
      </c>
      <c r="AZ1485" s="65" t="s">
        <v>2616</v>
      </c>
      <c r="BA1485" s="46" t="s">
        <v>2557</v>
      </c>
      <c r="BC1485" s="34">
        <f>AW1485+AX1485</f>
        <v>0</v>
      </c>
      <c r="BD1485" s="34">
        <f>H1485/(100-BE1485)*100</f>
        <v>0</v>
      </c>
      <c r="BE1485" s="34">
        <v>0</v>
      </c>
      <c r="BF1485" s="34">
        <f>1485</f>
        <v>1485</v>
      </c>
      <c r="BH1485" s="34">
        <f>G1485*AO1485</f>
        <v>0</v>
      </c>
      <c r="BI1485" s="34">
        <f>G1485*AP1485</f>
        <v>0</v>
      </c>
      <c r="BJ1485" s="34">
        <f>G1485*H1485</f>
        <v>0</v>
      </c>
      <c r="BK1485" s="34"/>
      <c r="BL1485" s="34">
        <v>722</v>
      </c>
      <c r="BW1485" s="34">
        <v>21</v>
      </c>
      <c r="BX1485" s="3" t="s">
        <v>2755</v>
      </c>
    </row>
    <row r="1486" spans="1:76" ht="13.5" customHeight="1" x14ac:dyDescent="0.25">
      <c r="A1486" s="66"/>
      <c r="C1486" s="69" t="s">
        <v>204</v>
      </c>
      <c r="D1486" s="169" t="s">
        <v>2759</v>
      </c>
      <c r="E1486" s="170"/>
      <c r="F1486" s="170"/>
      <c r="G1486" s="170"/>
      <c r="H1486" s="171"/>
      <c r="I1486" s="170"/>
      <c r="J1486" s="170"/>
      <c r="K1486" s="172"/>
    </row>
    <row r="1487" spans="1:76" x14ac:dyDescent="0.25">
      <c r="A1487" s="66"/>
      <c r="D1487" s="67" t="s">
        <v>387</v>
      </c>
      <c r="E1487" s="67" t="s">
        <v>4</v>
      </c>
      <c r="G1487" s="68">
        <v>38</v>
      </c>
      <c r="K1487" s="59"/>
    </row>
    <row r="1488" spans="1:76" x14ac:dyDescent="0.25">
      <c r="A1488" s="1" t="s">
        <v>2760</v>
      </c>
      <c r="B1488" s="2" t="s">
        <v>93</v>
      </c>
      <c r="C1488" s="2" t="s">
        <v>2761</v>
      </c>
      <c r="D1488" s="86" t="s">
        <v>2755</v>
      </c>
      <c r="E1488" s="81"/>
      <c r="F1488" s="2" t="s">
        <v>239</v>
      </c>
      <c r="G1488" s="34">
        <v>55</v>
      </c>
      <c r="H1488" s="64">
        <v>0</v>
      </c>
      <c r="I1488" s="34">
        <f>ROUND(G1488*H1488,2)</f>
        <v>0</v>
      </c>
      <c r="J1488" s="65" t="s">
        <v>133</v>
      </c>
      <c r="K1488" s="59"/>
      <c r="Z1488" s="34">
        <f>ROUND(IF(AQ1488="5",BJ1488,0),2)</f>
        <v>0</v>
      </c>
      <c r="AB1488" s="34">
        <f>ROUND(IF(AQ1488="1",BH1488,0),2)</f>
        <v>0</v>
      </c>
      <c r="AC1488" s="34">
        <f>ROUND(IF(AQ1488="1",BI1488,0),2)</f>
        <v>0</v>
      </c>
      <c r="AD1488" s="34">
        <f>ROUND(IF(AQ1488="7",BH1488,0),2)</f>
        <v>0</v>
      </c>
      <c r="AE1488" s="34">
        <f>ROUND(IF(AQ1488="7",BI1488,0),2)</f>
        <v>0</v>
      </c>
      <c r="AF1488" s="34">
        <f>ROUND(IF(AQ1488="2",BH1488,0),2)</f>
        <v>0</v>
      </c>
      <c r="AG1488" s="34">
        <f>ROUND(IF(AQ1488="2",BI1488,0),2)</f>
        <v>0</v>
      </c>
      <c r="AH1488" s="34">
        <f>ROUND(IF(AQ1488="0",BJ1488,0),2)</f>
        <v>0</v>
      </c>
      <c r="AI1488" s="46" t="s">
        <v>93</v>
      </c>
      <c r="AJ1488" s="34">
        <f>IF(AN1488=0,I1488,0)</f>
        <v>0</v>
      </c>
      <c r="AK1488" s="34">
        <f>IF(AN1488=12,I1488,0)</f>
        <v>0</v>
      </c>
      <c r="AL1488" s="34">
        <f>IF(AN1488=21,I1488,0)</f>
        <v>0</v>
      </c>
      <c r="AN1488" s="34">
        <v>21</v>
      </c>
      <c r="AO1488" s="34">
        <f>H1488*0.422027972</f>
        <v>0</v>
      </c>
      <c r="AP1488" s="34">
        <f>H1488*(1-0.422027972)</f>
        <v>0</v>
      </c>
      <c r="AQ1488" s="65" t="s">
        <v>175</v>
      </c>
      <c r="AV1488" s="34">
        <f>ROUND(AW1488+AX1488,2)</f>
        <v>0</v>
      </c>
      <c r="AW1488" s="34">
        <f>ROUND(G1488*AO1488,2)</f>
        <v>0</v>
      </c>
      <c r="AX1488" s="34">
        <f>ROUND(G1488*AP1488,2)</f>
        <v>0</v>
      </c>
      <c r="AY1488" s="65" t="s">
        <v>1065</v>
      </c>
      <c r="AZ1488" s="65" t="s">
        <v>2616</v>
      </c>
      <c r="BA1488" s="46" t="s">
        <v>2557</v>
      </c>
      <c r="BC1488" s="34">
        <f>AW1488+AX1488</f>
        <v>0</v>
      </c>
      <c r="BD1488" s="34">
        <f>H1488/(100-BE1488)*100</f>
        <v>0</v>
      </c>
      <c r="BE1488" s="34">
        <v>0</v>
      </c>
      <c r="BF1488" s="34">
        <f>1488</f>
        <v>1488</v>
      </c>
      <c r="BH1488" s="34">
        <f>G1488*AO1488</f>
        <v>0</v>
      </c>
      <c r="BI1488" s="34">
        <f>G1488*AP1488</f>
        <v>0</v>
      </c>
      <c r="BJ1488" s="34">
        <f>G1488*H1488</f>
        <v>0</v>
      </c>
      <c r="BK1488" s="34"/>
      <c r="BL1488" s="34">
        <v>722</v>
      </c>
      <c r="BW1488" s="34">
        <v>21</v>
      </c>
      <c r="BX1488" s="3" t="s">
        <v>2755</v>
      </c>
    </row>
    <row r="1489" spans="1:76" ht="13.5" customHeight="1" x14ac:dyDescent="0.25">
      <c r="A1489" s="66"/>
      <c r="C1489" s="69" t="s">
        <v>204</v>
      </c>
      <c r="D1489" s="169" t="s">
        <v>2762</v>
      </c>
      <c r="E1489" s="170"/>
      <c r="F1489" s="170"/>
      <c r="G1489" s="170"/>
      <c r="H1489" s="171"/>
      <c r="I1489" s="170"/>
      <c r="J1489" s="170"/>
      <c r="K1489" s="172"/>
    </row>
    <row r="1490" spans="1:76" x14ac:dyDescent="0.25">
      <c r="A1490" s="66"/>
      <c r="D1490" s="67" t="s">
        <v>2763</v>
      </c>
      <c r="E1490" s="67" t="s">
        <v>4</v>
      </c>
      <c r="G1490" s="68">
        <v>55</v>
      </c>
      <c r="K1490" s="59"/>
    </row>
    <row r="1491" spans="1:76" x14ac:dyDescent="0.25">
      <c r="A1491" s="1" t="s">
        <v>2764</v>
      </c>
      <c r="B1491" s="2" t="s">
        <v>93</v>
      </c>
      <c r="C1491" s="2" t="s">
        <v>2765</v>
      </c>
      <c r="D1491" s="86" t="s">
        <v>2755</v>
      </c>
      <c r="E1491" s="81"/>
      <c r="F1491" s="2" t="s">
        <v>239</v>
      </c>
      <c r="G1491" s="34">
        <v>8</v>
      </c>
      <c r="H1491" s="64">
        <v>0</v>
      </c>
      <c r="I1491" s="34">
        <f>ROUND(G1491*H1491,2)</f>
        <v>0</v>
      </c>
      <c r="J1491" s="65" t="s">
        <v>133</v>
      </c>
      <c r="K1491" s="59"/>
      <c r="Z1491" s="34">
        <f>ROUND(IF(AQ1491="5",BJ1491,0),2)</f>
        <v>0</v>
      </c>
      <c r="AB1491" s="34">
        <f>ROUND(IF(AQ1491="1",BH1491,0),2)</f>
        <v>0</v>
      </c>
      <c r="AC1491" s="34">
        <f>ROUND(IF(AQ1491="1",BI1491,0),2)</f>
        <v>0</v>
      </c>
      <c r="AD1491" s="34">
        <f>ROUND(IF(AQ1491="7",BH1491,0),2)</f>
        <v>0</v>
      </c>
      <c r="AE1491" s="34">
        <f>ROUND(IF(AQ1491="7",BI1491,0),2)</f>
        <v>0</v>
      </c>
      <c r="AF1491" s="34">
        <f>ROUND(IF(AQ1491="2",BH1491,0),2)</f>
        <v>0</v>
      </c>
      <c r="AG1491" s="34">
        <f>ROUND(IF(AQ1491="2",BI1491,0),2)</f>
        <v>0</v>
      </c>
      <c r="AH1491" s="34">
        <f>ROUND(IF(AQ1491="0",BJ1491,0),2)</f>
        <v>0</v>
      </c>
      <c r="AI1491" s="46" t="s">
        <v>93</v>
      </c>
      <c r="AJ1491" s="34">
        <f>IF(AN1491=0,I1491,0)</f>
        <v>0</v>
      </c>
      <c r="AK1491" s="34">
        <f>IF(AN1491=12,I1491,0)</f>
        <v>0</v>
      </c>
      <c r="AL1491" s="34">
        <f>IF(AN1491=21,I1491,0)</f>
        <v>0</v>
      </c>
      <c r="AN1491" s="34">
        <v>21</v>
      </c>
      <c r="AO1491" s="34">
        <f>H1491*0.442777879</f>
        <v>0</v>
      </c>
      <c r="AP1491" s="34">
        <f>H1491*(1-0.442777879)</f>
        <v>0</v>
      </c>
      <c r="AQ1491" s="65" t="s">
        <v>175</v>
      </c>
      <c r="AV1491" s="34">
        <f>ROUND(AW1491+AX1491,2)</f>
        <v>0</v>
      </c>
      <c r="AW1491" s="34">
        <f>ROUND(G1491*AO1491,2)</f>
        <v>0</v>
      </c>
      <c r="AX1491" s="34">
        <f>ROUND(G1491*AP1491,2)</f>
        <v>0</v>
      </c>
      <c r="AY1491" s="65" t="s">
        <v>1065</v>
      </c>
      <c r="AZ1491" s="65" t="s">
        <v>2616</v>
      </c>
      <c r="BA1491" s="46" t="s">
        <v>2557</v>
      </c>
      <c r="BC1491" s="34">
        <f>AW1491+AX1491</f>
        <v>0</v>
      </c>
      <c r="BD1491" s="34">
        <f>H1491/(100-BE1491)*100</f>
        <v>0</v>
      </c>
      <c r="BE1491" s="34">
        <v>0</v>
      </c>
      <c r="BF1491" s="34">
        <f>1491</f>
        <v>1491</v>
      </c>
      <c r="BH1491" s="34">
        <f>G1491*AO1491</f>
        <v>0</v>
      </c>
      <c r="BI1491" s="34">
        <f>G1491*AP1491</f>
        <v>0</v>
      </c>
      <c r="BJ1491" s="34">
        <f>G1491*H1491</f>
        <v>0</v>
      </c>
      <c r="BK1491" s="34"/>
      <c r="BL1491" s="34">
        <v>722</v>
      </c>
      <c r="BW1491" s="34">
        <v>21</v>
      </c>
      <c r="BX1491" s="3" t="s">
        <v>2755</v>
      </c>
    </row>
    <row r="1492" spans="1:76" ht="13.5" customHeight="1" x14ac:dyDescent="0.25">
      <c r="A1492" s="66"/>
      <c r="C1492" s="69" t="s">
        <v>204</v>
      </c>
      <c r="D1492" s="169" t="s">
        <v>2766</v>
      </c>
      <c r="E1492" s="170"/>
      <c r="F1492" s="170"/>
      <c r="G1492" s="170"/>
      <c r="H1492" s="171"/>
      <c r="I1492" s="170"/>
      <c r="J1492" s="170"/>
      <c r="K1492" s="172"/>
    </row>
    <row r="1493" spans="1:76" x14ac:dyDescent="0.25">
      <c r="A1493" s="66"/>
      <c r="D1493" s="67" t="s">
        <v>2767</v>
      </c>
      <c r="E1493" s="67" t="s">
        <v>4</v>
      </c>
      <c r="G1493" s="68">
        <v>8</v>
      </c>
      <c r="K1493" s="59"/>
    </row>
    <row r="1494" spans="1:76" x14ac:dyDescent="0.25">
      <c r="A1494" s="1" t="s">
        <v>2768</v>
      </c>
      <c r="B1494" s="2" t="s">
        <v>93</v>
      </c>
      <c r="C1494" s="2" t="s">
        <v>2769</v>
      </c>
      <c r="D1494" s="86" t="s">
        <v>2755</v>
      </c>
      <c r="E1494" s="81"/>
      <c r="F1494" s="2" t="s">
        <v>239</v>
      </c>
      <c r="G1494" s="34">
        <v>19</v>
      </c>
      <c r="H1494" s="64">
        <v>0</v>
      </c>
      <c r="I1494" s="34">
        <f>ROUND(G1494*H1494,2)</f>
        <v>0</v>
      </c>
      <c r="J1494" s="65" t="s">
        <v>133</v>
      </c>
      <c r="K1494" s="59"/>
      <c r="Z1494" s="34">
        <f>ROUND(IF(AQ1494="5",BJ1494,0),2)</f>
        <v>0</v>
      </c>
      <c r="AB1494" s="34">
        <f>ROUND(IF(AQ1494="1",BH1494,0),2)</f>
        <v>0</v>
      </c>
      <c r="AC1494" s="34">
        <f>ROUND(IF(AQ1494="1",BI1494,0),2)</f>
        <v>0</v>
      </c>
      <c r="AD1494" s="34">
        <f>ROUND(IF(AQ1494="7",BH1494,0),2)</f>
        <v>0</v>
      </c>
      <c r="AE1494" s="34">
        <f>ROUND(IF(AQ1494="7",BI1494,0),2)</f>
        <v>0</v>
      </c>
      <c r="AF1494" s="34">
        <f>ROUND(IF(AQ1494="2",BH1494,0),2)</f>
        <v>0</v>
      </c>
      <c r="AG1494" s="34">
        <f>ROUND(IF(AQ1494="2",BI1494,0),2)</f>
        <v>0</v>
      </c>
      <c r="AH1494" s="34">
        <f>ROUND(IF(AQ1494="0",BJ1494,0),2)</f>
        <v>0</v>
      </c>
      <c r="AI1494" s="46" t="s">
        <v>93</v>
      </c>
      <c r="AJ1494" s="34">
        <f>IF(AN1494=0,I1494,0)</f>
        <v>0</v>
      </c>
      <c r="AK1494" s="34">
        <f>IF(AN1494=12,I1494,0)</f>
        <v>0</v>
      </c>
      <c r="AL1494" s="34">
        <f>IF(AN1494=21,I1494,0)</f>
        <v>0</v>
      </c>
      <c r="AN1494" s="34">
        <v>21</v>
      </c>
      <c r="AO1494" s="34">
        <f>H1494*0.457398374</f>
        <v>0</v>
      </c>
      <c r="AP1494" s="34">
        <f>H1494*(1-0.457398374)</f>
        <v>0</v>
      </c>
      <c r="AQ1494" s="65" t="s">
        <v>175</v>
      </c>
      <c r="AV1494" s="34">
        <f>ROUND(AW1494+AX1494,2)</f>
        <v>0</v>
      </c>
      <c r="AW1494" s="34">
        <f>ROUND(G1494*AO1494,2)</f>
        <v>0</v>
      </c>
      <c r="AX1494" s="34">
        <f>ROUND(G1494*AP1494,2)</f>
        <v>0</v>
      </c>
      <c r="AY1494" s="65" t="s">
        <v>1065</v>
      </c>
      <c r="AZ1494" s="65" t="s">
        <v>2616</v>
      </c>
      <c r="BA1494" s="46" t="s">
        <v>2557</v>
      </c>
      <c r="BC1494" s="34">
        <f>AW1494+AX1494</f>
        <v>0</v>
      </c>
      <c r="BD1494" s="34">
        <f>H1494/(100-BE1494)*100</f>
        <v>0</v>
      </c>
      <c r="BE1494" s="34">
        <v>0</v>
      </c>
      <c r="BF1494" s="34">
        <f>1494</f>
        <v>1494</v>
      </c>
      <c r="BH1494" s="34">
        <f>G1494*AO1494</f>
        <v>0</v>
      </c>
      <c r="BI1494" s="34">
        <f>G1494*AP1494</f>
        <v>0</v>
      </c>
      <c r="BJ1494" s="34">
        <f>G1494*H1494</f>
        <v>0</v>
      </c>
      <c r="BK1494" s="34"/>
      <c r="BL1494" s="34">
        <v>722</v>
      </c>
      <c r="BW1494" s="34">
        <v>21</v>
      </c>
      <c r="BX1494" s="3" t="s">
        <v>2755</v>
      </c>
    </row>
    <row r="1495" spans="1:76" ht="13.5" customHeight="1" x14ac:dyDescent="0.25">
      <c r="A1495" s="66"/>
      <c r="C1495" s="69" t="s">
        <v>204</v>
      </c>
      <c r="D1495" s="169" t="s">
        <v>2770</v>
      </c>
      <c r="E1495" s="170"/>
      <c r="F1495" s="170"/>
      <c r="G1495" s="170"/>
      <c r="H1495" s="171"/>
      <c r="I1495" s="170"/>
      <c r="J1495" s="170"/>
      <c r="K1495" s="172"/>
    </row>
    <row r="1496" spans="1:76" x14ac:dyDescent="0.25">
      <c r="A1496" s="66"/>
      <c r="D1496" s="67" t="s">
        <v>270</v>
      </c>
      <c r="E1496" s="67" t="s">
        <v>4</v>
      </c>
      <c r="G1496" s="68">
        <v>19</v>
      </c>
      <c r="K1496" s="59"/>
    </row>
    <row r="1497" spans="1:76" x14ac:dyDescent="0.25">
      <c r="A1497" s="1" t="s">
        <v>2771</v>
      </c>
      <c r="B1497" s="2" t="s">
        <v>93</v>
      </c>
      <c r="C1497" s="2" t="s">
        <v>2772</v>
      </c>
      <c r="D1497" s="86" t="s">
        <v>2755</v>
      </c>
      <c r="E1497" s="81"/>
      <c r="F1497" s="2" t="s">
        <v>239</v>
      </c>
      <c r="G1497" s="34">
        <v>30</v>
      </c>
      <c r="H1497" s="64">
        <v>0</v>
      </c>
      <c r="I1497" s="34">
        <f>ROUND(G1497*H1497,2)</f>
        <v>0</v>
      </c>
      <c r="J1497" s="65" t="s">
        <v>133</v>
      </c>
      <c r="K1497" s="59"/>
      <c r="Z1497" s="34">
        <f>ROUND(IF(AQ1497="5",BJ1497,0),2)</f>
        <v>0</v>
      </c>
      <c r="AB1497" s="34">
        <f>ROUND(IF(AQ1497="1",BH1497,0),2)</f>
        <v>0</v>
      </c>
      <c r="AC1497" s="34">
        <f>ROUND(IF(AQ1497="1",BI1497,0),2)</f>
        <v>0</v>
      </c>
      <c r="AD1497" s="34">
        <f>ROUND(IF(AQ1497="7",BH1497,0),2)</f>
        <v>0</v>
      </c>
      <c r="AE1497" s="34">
        <f>ROUND(IF(AQ1497="7",BI1497,0),2)</f>
        <v>0</v>
      </c>
      <c r="AF1497" s="34">
        <f>ROUND(IF(AQ1497="2",BH1497,0),2)</f>
        <v>0</v>
      </c>
      <c r="AG1497" s="34">
        <f>ROUND(IF(AQ1497="2",BI1497,0),2)</f>
        <v>0</v>
      </c>
      <c r="AH1497" s="34">
        <f>ROUND(IF(AQ1497="0",BJ1497,0),2)</f>
        <v>0</v>
      </c>
      <c r="AI1497" s="46" t="s">
        <v>93</v>
      </c>
      <c r="AJ1497" s="34">
        <f>IF(AN1497=0,I1497,0)</f>
        <v>0</v>
      </c>
      <c r="AK1497" s="34">
        <f>IF(AN1497=12,I1497,0)</f>
        <v>0</v>
      </c>
      <c r="AL1497" s="34">
        <f>IF(AN1497=21,I1497,0)</f>
        <v>0</v>
      </c>
      <c r="AN1497" s="34">
        <v>21</v>
      </c>
      <c r="AO1497" s="34">
        <f>H1497*0.442796209</f>
        <v>0</v>
      </c>
      <c r="AP1497" s="34">
        <f>H1497*(1-0.442796209)</f>
        <v>0</v>
      </c>
      <c r="AQ1497" s="65" t="s">
        <v>175</v>
      </c>
      <c r="AV1497" s="34">
        <f>ROUND(AW1497+AX1497,2)</f>
        <v>0</v>
      </c>
      <c r="AW1497" s="34">
        <f>ROUND(G1497*AO1497,2)</f>
        <v>0</v>
      </c>
      <c r="AX1497" s="34">
        <f>ROUND(G1497*AP1497,2)</f>
        <v>0</v>
      </c>
      <c r="AY1497" s="65" t="s">
        <v>1065</v>
      </c>
      <c r="AZ1497" s="65" t="s">
        <v>2616</v>
      </c>
      <c r="BA1497" s="46" t="s">
        <v>2557</v>
      </c>
      <c r="BC1497" s="34">
        <f>AW1497+AX1497</f>
        <v>0</v>
      </c>
      <c r="BD1497" s="34">
        <f>H1497/(100-BE1497)*100</f>
        <v>0</v>
      </c>
      <c r="BE1497" s="34">
        <v>0</v>
      </c>
      <c r="BF1497" s="34">
        <f>1497</f>
        <v>1497</v>
      </c>
      <c r="BH1497" s="34">
        <f>G1497*AO1497</f>
        <v>0</v>
      </c>
      <c r="BI1497" s="34">
        <f>G1497*AP1497</f>
        <v>0</v>
      </c>
      <c r="BJ1497" s="34">
        <f>G1497*H1497</f>
        <v>0</v>
      </c>
      <c r="BK1497" s="34"/>
      <c r="BL1497" s="34">
        <v>722</v>
      </c>
      <c r="BW1497" s="34">
        <v>21</v>
      </c>
      <c r="BX1497" s="3" t="s">
        <v>2755</v>
      </c>
    </row>
    <row r="1498" spans="1:76" ht="13.5" customHeight="1" x14ac:dyDescent="0.25">
      <c r="A1498" s="66"/>
      <c r="C1498" s="69" t="s">
        <v>204</v>
      </c>
      <c r="D1498" s="169" t="s">
        <v>2773</v>
      </c>
      <c r="E1498" s="170"/>
      <c r="F1498" s="170"/>
      <c r="G1498" s="170"/>
      <c r="H1498" s="171"/>
      <c r="I1498" s="170"/>
      <c r="J1498" s="170"/>
      <c r="K1498" s="172"/>
    </row>
    <row r="1499" spans="1:76" x14ac:dyDescent="0.25">
      <c r="A1499" s="66"/>
      <c r="D1499" s="67" t="s">
        <v>357</v>
      </c>
      <c r="E1499" s="67" t="s">
        <v>4</v>
      </c>
      <c r="G1499" s="68">
        <v>30</v>
      </c>
      <c r="K1499" s="59"/>
    </row>
    <row r="1500" spans="1:76" x14ac:dyDescent="0.25">
      <c r="A1500" s="1" t="s">
        <v>2774</v>
      </c>
      <c r="B1500" s="2" t="s">
        <v>93</v>
      </c>
      <c r="C1500" s="2" t="s">
        <v>2775</v>
      </c>
      <c r="D1500" s="86" t="s">
        <v>2776</v>
      </c>
      <c r="E1500" s="81"/>
      <c r="F1500" s="2" t="s">
        <v>239</v>
      </c>
      <c r="G1500" s="34">
        <v>28</v>
      </c>
      <c r="H1500" s="64">
        <v>0</v>
      </c>
      <c r="I1500" s="34">
        <f>ROUND(G1500*H1500,2)</f>
        <v>0</v>
      </c>
      <c r="J1500" s="65" t="s">
        <v>133</v>
      </c>
      <c r="K1500" s="59"/>
      <c r="Z1500" s="34">
        <f>ROUND(IF(AQ1500="5",BJ1500,0),2)</f>
        <v>0</v>
      </c>
      <c r="AB1500" s="34">
        <f>ROUND(IF(AQ1500="1",BH1500,0),2)</f>
        <v>0</v>
      </c>
      <c r="AC1500" s="34">
        <f>ROUND(IF(AQ1500="1",BI1500,0),2)</f>
        <v>0</v>
      </c>
      <c r="AD1500" s="34">
        <f>ROUND(IF(AQ1500="7",BH1500,0),2)</f>
        <v>0</v>
      </c>
      <c r="AE1500" s="34">
        <f>ROUND(IF(AQ1500="7",BI1500,0),2)</f>
        <v>0</v>
      </c>
      <c r="AF1500" s="34">
        <f>ROUND(IF(AQ1500="2",BH1500,0),2)</f>
        <v>0</v>
      </c>
      <c r="AG1500" s="34">
        <f>ROUND(IF(AQ1500="2",BI1500,0),2)</f>
        <v>0</v>
      </c>
      <c r="AH1500" s="34">
        <f>ROUND(IF(AQ1500="0",BJ1500,0),2)</f>
        <v>0</v>
      </c>
      <c r="AI1500" s="46" t="s">
        <v>93</v>
      </c>
      <c r="AJ1500" s="34">
        <f>IF(AN1500=0,I1500,0)</f>
        <v>0</v>
      </c>
      <c r="AK1500" s="34">
        <f>IF(AN1500=12,I1500,0)</f>
        <v>0</v>
      </c>
      <c r="AL1500" s="34">
        <f>IF(AN1500=21,I1500,0)</f>
        <v>0</v>
      </c>
      <c r="AN1500" s="34">
        <v>21</v>
      </c>
      <c r="AO1500" s="34">
        <f>H1500*0.579351297</f>
        <v>0</v>
      </c>
      <c r="AP1500" s="34">
        <f>H1500*(1-0.579351297)</f>
        <v>0</v>
      </c>
      <c r="AQ1500" s="65" t="s">
        <v>175</v>
      </c>
      <c r="AV1500" s="34">
        <f>ROUND(AW1500+AX1500,2)</f>
        <v>0</v>
      </c>
      <c r="AW1500" s="34">
        <f>ROUND(G1500*AO1500,2)</f>
        <v>0</v>
      </c>
      <c r="AX1500" s="34">
        <f>ROUND(G1500*AP1500,2)</f>
        <v>0</v>
      </c>
      <c r="AY1500" s="65" t="s">
        <v>1065</v>
      </c>
      <c r="AZ1500" s="65" t="s">
        <v>2616</v>
      </c>
      <c r="BA1500" s="46" t="s">
        <v>2557</v>
      </c>
      <c r="BC1500" s="34">
        <f>AW1500+AX1500</f>
        <v>0</v>
      </c>
      <c r="BD1500" s="34">
        <f>H1500/(100-BE1500)*100</f>
        <v>0</v>
      </c>
      <c r="BE1500" s="34">
        <v>0</v>
      </c>
      <c r="BF1500" s="34">
        <f>1500</f>
        <v>1500</v>
      </c>
      <c r="BH1500" s="34">
        <f>G1500*AO1500</f>
        <v>0</v>
      </c>
      <c r="BI1500" s="34">
        <f>G1500*AP1500</f>
        <v>0</v>
      </c>
      <c r="BJ1500" s="34">
        <f>G1500*H1500</f>
        <v>0</v>
      </c>
      <c r="BK1500" s="34"/>
      <c r="BL1500" s="34">
        <v>722</v>
      </c>
      <c r="BW1500" s="34">
        <v>21</v>
      </c>
      <c r="BX1500" s="3" t="s">
        <v>2776</v>
      </c>
    </row>
    <row r="1501" spans="1:76" ht="13.5" customHeight="1" x14ac:dyDescent="0.25">
      <c r="A1501" s="66"/>
      <c r="C1501" s="69" t="s">
        <v>204</v>
      </c>
      <c r="D1501" s="169" t="s">
        <v>2756</v>
      </c>
      <c r="E1501" s="170"/>
      <c r="F1501" s="170"/>
      <c r="G1501" s="170"/>
      <c r="H1501" s="171"/>
      <c r="I1501" s="170"/>
      <c r="J1501" s="170"/>
      <c r="K1501" s="172"/>
    </row>
    <row r="1502" spans="1:76" x14ac:dyDescent="0.25">
      <c r="A1502" s="66"/>
      <c r="D1502" s="67" t="s">
        <v>350</v>
      </c>
      <c r="E1502" s="67" t="s">
        <v>4</v>
      </c>
      <c r="G1502" s="68">
        <v>28</v>
      </c>
      <c r="K1502" s="59"/>
    </row>
    <row r="1503" spans="1:76" x14ac:dyDescent="0.25">
      <c r="A1503" s="1" t="s">
        <v>2777</v>
      </c>
      <c r="B1503" s="2" t="s">
        <v>93</v>
      </c>
      <c r="C1503" s="2" t="s">
        <v>2778</v>
      </c>
      <c r="D1503" s="86" t="s">
        <v>2779</v>
      </c>
      <c r="E1503" s="81"/>
      <c r="F1503" s="2" t="s">
        <v>239</v>
      </c>
      <c r="G1503" s="34">
        <v>30</v>
      </c>
      <c r="H1503" s="64">
        <v>0</v>
      </c>
      <c r="I1503" s="34">
        <f>ROUND(G1503*H1503,2)</f>
        <v>0</v>
      </c>
      <c r="J1503" s="65" t="s">
        <v>133</v>
      </c>
      <c r="K1503" s="59"/>
      <c r="Z1503" s="34">
        <f>ROUND(IF(AQ1503="5",BJ1503,0),2)</f>
        <v>0</v>
      </c>
      <c r="AB1503" s="34">
        <f>ROUND(IF(AQ1503="1",BH1503,0),2)</f>
        <v>0</v>
      </c>
      <c r="AC1503" s="34">
        <f>ROUND(IF(AQ1503="1",BI1503,0),2)</f>
        <v>0</v>
      </c>
      <c r="AD1503" s="34">
        <f>ROUND(IF(AQ1503="7",BH1503,0),2)</f>
        <v>0</v>
      </c>
      <c r="AE1503" s="34">
        <f>ROUND(IF(AQ1503="7",BI1503,0),2)</f>
        <v>0</v>
      </c>
      <c r="AF1503" s="34">
        <f>ROUND(IF(AQ1503="2",BH1503,0),2)</f>
        <v>0</v>
      </c>
      <c r="AG1503" s="34">
        <f>ROUND(IF(AQ1503="2",BI1503,0),2)</f>
        <v>0</v>
      </c>
      <c r="AH1503" s="34">
        <f>ROUND(IF(AQ1503="0",BJ1503,0),2)</f>
        <v>0</v>
      </c>
      <c r="AI1503" s="46" t="s">
        <v>93</v>
      </c>
      <c r="AJ1503" s="34">
        <f>IF(AN1503=0,I1503,0)</f>
        <v>0</v>
      </c>
      <c r="AK1503" s="34">
        <f>IF(AN1503=12,I1503,0)</f>
        <v>0</v>
      </c>
      <c r="AL1503" s="34">
        <f>IF(AN1503=21,I1503,0)</f>
        <v>0</v>
      </c>
      <c r="AN1503" s="34">
        <v>21</v>
      </c>
      <c r="AO1503" s="34">
        <f>H1503*0.622682277</f>
        <v>0</v>
      </c>
      <c r="AP1503" s="34">
        <f>H1503*(1-0.622682277)</f>
        <v>0</v>
      </c>
      <c r="AQ1503" s="65" t="s">
        <v>175</v>
      </c>
      <c r="AV1503" s="34">
        <f>ROUND(AW1503+AX1503,2)</f>
        <v>0</v>
      </c>
      <c r="AW1503" s="34">
        <f>ROUND(G1503*AO1503,2)</f>
        <v>0</v>
      </c>
      <c r="AX1503" s="34">
        <f>ROUND(G1503*AP1503,2)</f>
        <v>0</v>
      </c>
      <c r="AY1503" s="65" t="s">
        <v>1065</v>
      </c>
      <c r="AZ1503" s="65" t="s">
        <v>2616</v>
      </c>
      <c r="BA1503" s="46" t="s">
        <v>2557</v>
      </c>
      <c r="BC1503" s="34">
        <f>AW1503+AX1503</f>
        <v>0</v>
      </c>
      <c r="BD1503" s="34">
        <f>H1503/(100-BE1503)*100</f>
        <v>0</v>
      </c>
      <c r="BE1503" s="34">
        <v>0</v>
      </c>
      <c r="BF1503" s="34">
        <f>1503</f>
        <v>1503</v>
      </c>
      <c r="BH1503" s="34">
        <f>G1503*AO1503</f>
        <v>0</v>
      </c>
      <c r="BI1503" s="34">
        <f>G1503*AP1503</f>
        <v>0</v>
      </c>
      <c r="BJ1503" s="34">
        <f>G1503*H1503</f>
        <v>0</v>
      </c>
      <c r="BK1503" s="34"/>
      <c r="BL1503" s="34">
        <v>722</v>
      </c>
      <c r="BW1503" s="34">
        <v>21</v>
      </c>
      <c r="BX1503" s="3" t="s">
        <v>2779</v>
      </c>
    </row>
    <row r="1504" spans="1:76" ht="13.5" customHeight="1" x14ac:dyDescent="0.25">
      <c r="A1504" s="66"/>
      <c r="C1504" s="69" t="s">
        <v>204</v>
      </c>
      <c r="D1504" s="169" t="s">
        <v>2759</v>
      </c>
      <c r="E1504" s="170"/>
      <c r="F1504" s="170"/>
      <c r="G1504" s="170"/>
      <c r="H1504" s="171"/>
      <c r="I1504" s="170"/>
      <c r="J1504" s="170"/>
      <c r="K1504" s="172"/>
    </row>
    <row r="1505" spans="1:76" x14ac:dyDescent="0.25">
      <c r="A1505" s="66"/>
      <c r="D1505" s="67" t="s">
        <v>357</v>
      </c>
      <c r="E1505" s="67" t="s">
        <v>4</v>
      </c>
      <c r="G1505" s="68">
        <v>30</v>
      </c>
      <c r="K1505" s="59"/>
    </row>
    <row r="1506" spans="1:76" x14ac:dyDescent="0.25">
      <c r="A1506" s="1" t="s">
        <v>2780</v>
      </c>
      <c r="B1506" s="2" t="s">
        <v>93</v>
      </c>
      <c r="C1506" s="2" t="s">
        <v>2781</v>
      </c>
      <c r="D1506" s="86" t="s">
        <v>2782</v>
      </c>
      <c r="E1506" s="81"/>
      <c r="F1506" s="2" t="s">
        <v>239</v>
      </c>
      <c r="G1506" s="34">
        <v>4</v>
      </c>
      <c r="H1506" s="64">
        <v>0</v>
      </c>
      <c r="I1506" s="34">
        <f>ROUND(G1506*H1506,2)</f>
        <v>0</v>
      </c>
      <c r="J1506" s="65" t="s">
        <v>133</v>
      </c>
      <c r="K1506" s="59"/>
      <c r="Z1506" s="34">
        <f>ROUND(IF(AQ1506="5",BJ1506,0),2)</f>
        <v>0</v>
      </c>
      <c r="AB1506" s="34">
        <f>ROUND(IF(AQ1506="1",BH1506,0),2)</f>
        <v>0</v>
      </c>
      <c r="AC1506" s="34">
        <f>ROUND(IF(AQ1506="1",BI1506,0),2)</f>
        <v>0</v>
      </c>
      <c r="AD1506" s="34">
        <f>ROUND(IF(AQ1506="7",BH1506,0),2)</f>
        <v>0</v>
      </c>
      <c r="AE1506" s="34">
        <f>ROUND(IF(AQ1506="7",BI1506,0),2)</f>
        <v>0</v>
      </c>
      <c r="AF1506" s="34">
        <f>ROUND(IF(AQ1506="2",BH1506,0),2)</f>
        <v>0</v>
      </c>
      <c r="AG1506" s="34">
        <f>ROUND(IF(AQ1506="2",BI1506,0),2)</f>
        <v>0</v>
      </c>
      <c r="AH1506" s="34">
        <f>ROUND(IF(AQ1506="0",BJ1506,0),2)</f>
        <v>0</v>
      </c>
      <c r="AI1506" s="46" t="s">
        <v>93</v>
      </c>
      <c r="AJ1506" s="34">
        <f>IF(AN1506=0,I1506,0)</f>
        <v>0</v>
      </c>
      <c r="AK1506" s="34">
        <f>IF(AN1506=12,I1506,0)</f>
        <v>0</v>
      </c>
      <c r="AL1506" s="34">
        <f>IF(AN1506=21,I1506,0)</f>
        <v>0</v>
      </c>
      <c r="AN1506" s="34">
        <v>21</v>
      </c>
      <c r="AO1506" s="34">
        <f>H1506*0.639526882</f>
        <v>0</v>
      </c>
      <c r="AP1506" s="34">
        <f>H1506*(1-0.639526882)</f>
        <v>0</v>
      </c>
      <c r="AQ1506" s="65" t="s">
        <v>175</v>
      </c>
      <c r="AV1506" s="34">
        <f>ROUND(AW1506+AX1506,2)</f>
        <v>0</v>
      </c>
      <c r="AW1506" s="34">
        <f>ROUND(G1506*AO1506,2)</f>
        <v>0</v>
      </c>
      <c r="AX1506" s="34">
        <f>ROUND(G1506*AP1506,2)</f>
        <v>0</v>
      </c>
      <c r="AY1506" s="65" t="s">
        <v>1065</v>
      </c>
      <c r="AZ1506" s="65" t="s">
        <v>2616</v>
      </c>
      <c r="BA1506" s="46" t="s">
        <v>2557</v>
      </c>
      <c r="BC1506" s="34">
        <f>AW1506+AX1506</f>
        <v>0</v>
      </c>
      <c r="BD1506" s="34">
        <f>H1506/(100-BE1506)*100</f>
        <v>0</v>
      </c>
      <c r="BE1506" s="34">
        <v>0</v>
      </c>
      <c r="BF1506" s="34">
        <f>1506</f>
        <v>1506</v>
      </c>
      <c r="BH1506" s="34">
        <f>G1506*AO1506</f>
        <v>0</v>
      </c>
      <c r="BI1506" s="34">
        <f>G1506*AP1506</f>
        <v>0</v>
      </c>
      <c r="BJ1506" s="34">
        <f>G1506*H1506</f>
        <v>0</v>
      </c>
      <c r="BK1506" s="34"/>
      <c r="BL1506" s="34">
        <v>722</v>
      </c>
      <c r="BW1506" s="34">
        <v>21</v>
      </c>
      <c r="BX1506" s="3" t="s">
        <v>2782</v>
      </c>
    </row>
    <row r="1507" spans="1:76" ht="13.5" customHeight="1" x14ac:dyDescent="0.25">
      <c r="A1507" s="66"/>
      <c r="C1507" s="69" t="s">
        <v>204</v>
      </c>
      <c r="D1507" s="169" t="s">
        <v>2762</v>
      </c>
      <c r="E1507" s="170"/>
      <c r="F1507" s="170"/>
      <c r="G1507" s="170"/>
      <c r="H1507" s="171"/>
      <c r="I1507" s="170"/>
      <c r="J1507" s="170"/>
      <c r="K1507" s="172"/>
    </row>
    <row r="1508" spans="1:76" x14ac:dyDescent="0.25">
      <c r="A1508" s="66"/>
      <c r="D1508" s="67" t="s">
        <v>161</v>
      </c>
      <c r="E1508" s="67" t="s">
        <v>4</v>
      </c>
      <c r="G1508" s="68">
        <v>4</v>
      </c>
      <c r="K1508" s="59"/>
    </row>
    <row r="1509" spans="1:76" x14ac:dyDescent="0.25">
      <c r="A1509" s="1" t="s">
        <v>2262</v>
      </c>
      <c r="B1509" s="2" t="s">
        <v>93</v>
      </c>
      <c r="C1509" s="2" t="s">
        <v>2783</v>
      </c>
      <c r="D1509" s="86" t="s">
        <v>2784</v>
      </c>
      <c r="E1509" s="81"/>
      <c r="F1509" s="2" t="s">
        <v>258</v>
      </c>
      <c r="G1509" s="34">
        <v>93</v>
      </c>
      <c r="H1509" s="64">
        <v>0</v>
      </c>
      <c r="I1509" s="34">
        <f>ROUND(G1509*H1509,2)</f>
        <v>0</v>
      </c>
      <c r="J1509" s="65" t="s">
        <v>133</v>
      </c>
      <c r="K1509" s="59"/>
      <c r="Z1509" s="34">
        <f>ROUND(IF(AQ1509="5",BJ1509,0),2)</f>
        <v>0</v>
      </c>
      <c r="AB1509" s="34">
        <f>ROUND(IF(AQ1509="1",BH1509,0),2)</f>
        <v>0</v>
      </c>
      <c r="AC1509" s="34">
        <f>ROUND(IF(AQ1509="1",BI1509,0),2)</f>
        <v>0</v>
      </c>
      <c r="AD1509" s="34">
        <f>ROUND(IF(AQ1509="7",BH1509,0),2)</f>
        <v>0</v>
      </c>
      <c r="AE1509" s="34">
        <f>ROUND(IF(AQ1509="7",BI1509,0),2)</f>
        <v>0</v>
      </c>
      <c r="AF1509" s="34">
        <f>ROUND(IF(AQ1509="2",BH1509,0),2)</f>
        <v>0</v>
      </c>
      <c r="AG1509" s="34">
        <f>ROUND(IF(AQ1509="2",BI1509,0),2)</f>
        <v>0</v>
      </c>
      <c r="AH1509" s="34">
        <f>ROUND(IF(AQ1509="0",BJ1509,0),2)</f>
        <v>0</v>
      </c>
      <c r="AI1509" s="46" t="s">
        <v>93</v>
      </c>
      <c r="AJ1509" s="34">
        <f>IF(AN1509=0,I1509,0)</f>
        <v>0</v>
      </c>
      <c r="AK1509" s="34">
        <f>IF(AN1509=12,I1509,0)</f>
        <v>0</v>
      </c>
      <c r="AL1509" s="34">
        <f>IF(AN1509=21,I1509,0)</f>
        <v>0</v>
      </c>
      <c r="AN1509" s="34">
        <v>21</v>
      </c>
      <c r="AO1509" s="34">
        <f>H1509*0.522836625</f>
        <v>0</v>
      </c>
      <c r="AP1509" s="34">
        <f>H1509*(1-0.522836625)</f>
        <v>0</v>
      </c>
      <c r="AQ1509" s="65" t="s">
        <v>175</v>
      </c>
      <c r="AV1509" s="34">
        <f>ROUND(AW1509+AX1509,2)</f>
        <v>0</v>
      </c>
      <c r="AW1509" s="34">
        <f>ROUND(G1509*AO1509,2)</f>
        <v>0</v>
      </c>
      <c r="AX1509" s="34">
        <f>ROUND(G1509*AP1509,2)</f>
        <v>0</v>
      </c>
      <c r="AY1509" s="65" t="s">
        <v>1065</v>
      </c>
      <c r="AZ1509" s="65" t="s">
        <v>2616</v>
      </c>
      <c r="BA1509" s="46" t="s">
        <v>2557</v>
      </c>
      <c r="BC1509" s="34">
        <f>AW1509+AX1509</f>
        <v>0</v>
      </c>
      <c r="BD1509" s="34">
        <f>H1509/(100-BE1509)*100</f>
        <v>0</v>
      </c>
      <c r="BE1509" s="34">
        <v>0</v>
      </c>
      <c r="BF1509" s="34">
        <f>1509</f>
        <v>1509</v>
      </c>
      <c r="BH1509" s="34">
        <f>G1509*AO1509</f>
        <v>0</v>
      </c>
      <c r="BI1509" s="34">
        <f>G1509*AP1509</f>
        <v>0</v>
      </c>
      <c r="BJ1509" s="34">
        <f>G1509*H1509</f>
        <v>0</v>
      </c>
      <c r="BK1509" s="34"/>
      <c r="BL1509" s="34">
        <v>722</v>
      </c>
      <c r="BW1509" s="34">
        <v>21</v>
      </c>
      <c r="BX1509" s="3" t="s">
        <v>2784</v>
      </c>
    </row>
    <row r="1510" spans="1:76" x14ac:dyDescent="0.25">
      <c r="A1510" s="66"/>
      <c r="D1510" s="67" t="s">
        <v>792</v>
      </c>
      <c r="E1510" s="67" t="s">
        <v>4</v>
      </c>
      <c r="G1510" s="68">
        <v>93</v>
      </c>
      <c r="K1510" s="59"/>
    </row>
    <row r="1511" spans="1:76" x14ac:dyDescent="0.25">
      <c r="A1511" s="1" t="s">
        <v>2785</v>
      </c>
      <c r="B1511" s="2" t="s">
        <v>93</v>
      </c>
      <c r="C1511" s="2" t="s">
        <v>2786</v>
      </c>
      <c r="D1511" s="86" t="s">
        <v>2787</v>
      </c>
      <c r="E1511" s="81"/>
      <c r="F1511" s="2" t="s">
        <v>239</v>
      </c>
      <c r="G1511" s="34">
        <v>261</v>
      </c>
      <c r="H1511" s="64">
        <v>0</v>
      </c>
      <c r="I1511" s="34">
        <f>ROUND(G1511*H1511,2)</f>
        <v>0</v>
      </c>
      <c r="J1511" s="65" t="s">
        <v>133</v>
      </c>
      <c r="K1511" s="59"/>
      <c r="Z1511" s="34">
        <f>ROUND(IF(AQ1511="5",BJ1511,0),2)</f>
        <v>0</v>
      </c>
      <c r="AB1511" s="34">
        <f>ROUND(IF(AQ1511="1",BH1511,0),2)</f>
        <v>0</v>
      </c>
      <c r="AC1511" s="34">
        <f>ROUND(IF(AQ1511="1",BI1511,0),2)</f>
        <v>0</v>
      </c>
      <c r="AD1511" s="34">
        <f>ROUND(IF(AQ1511="7",BH1511,0),2)</f>
        <v>0</v>
      </c>
      <c r="AE1511" s="34">
        <f>ROUND(IF(AQ1511="7",BI1511,0),2)</f>
        <v>0</v>
      </c>
      <c r="AF1511" s="34">
        <f>ROUND(IF(AQ1511="2",BH1511,0),2)</f>
        <v>0</v>
      </c>
      <c r="AG1511" s="34">
        <f>ROUND(IF(AQ1511="2",BI1511,0),2)</f>
        <v>0</v>
      </c>
      <c r="AH1511" s="34">
        <f>ROUND(IF(AQ1511="0",BJ1511,0),2)</f>
        <v>0</v>
      </c>
      <c r="AI1511" s="46" t="s">
        <v>93</v>
      </c>
      <c r="AJ1511" s="34">
        <f>IF(AN1511=0,I1511,0)</f>
        <v>0</v>
      </c>
      <c r="AK1511" s="34">
        <f>IF(AN1511=12,I1511,0)</f>
        <v>0</v>
      </c>
      <c r="AL1511" s="34">
        <f>IF(AN1511=21,I1511,0)</f>
        <v>0</v>
      </c>
      <c r="AN1511" s="34">
        <v>21</v>
      </c>
      <c r="AO1511" s="34">
        <f>H1511*0.054324324</f>
        <v>0</v>
      </c>
      <c r="AP1511" s="34">
        <f>H1511*(1-0.054324324)</f>
        <v>0</v>
      </c>
      <c r="AQ1511" s="65" t="s">
        <v>175</v>
      </c>
      <c r="AV1511" s="34">
        <f>ROUND(AW1511+AX1511,2)</f>
        <v>0</v>
      </c>
      <c r="AW1511" s="34">
        <f>ROUND(G1511*AO1511,2)</f>
        <v>0</v>
      </c>
      <c r="AX1511" s="34">
        <f>ROUND(G1511*AP1511,2)</f>
        <v>0</v>
      </c>
      <c r="AY1511" s="65" t="s">
        <v>1065</v>
      </c>
      <c r="AZ1511" s="65" t="s">
        <v>2616</v>
      </c>
      <c r="BA1511" s="46" t="s">
        <v>2557</v>
      </c>
      <c r="BC1511" s="34">
        <f>AW1511+AX1511</f>
        <v>0</v>
      </c>
      <c r="BD1511" s="34">
        <f>H1511/(100-BE1511)*100</f>
        <v>0</v>
      </c>
      <c r="BE1511" s="34">
        <v>0</v>
      </c>
      <c r="BF1511" s="34">
        <f>1511</f>
        <v>1511</v>
      </c>
      <c r="BH1511" s="34">
        <f>G1511*AO1511</f>
        <v>0</v>
      </c>
      <c r="BI1511" s="34">
        <f>G1511*AP1511</f>
        <v>0</v>
      </c>
      <c r="BJ1511" s="34">
        <f>G1511*H1511</f>
        <v>0</v>
      </c>
      <c r="BK1511" s="34"/>
      <c r="BL1511" s="34">
        <v>722</v>
      </c>
      <c r="BW1511" s="34">
        <v>21</v>
      </c>
      <c r="BX1511" s="3" t="s">
        <v>2787</v>
      </c>
    </row>
    <row r="1512" spans="1:76" x14ac:dyDescent="0.25">
      <c r="A1512" s="66"/>
      <c r="D1512" s="67" t="s">
        <v>1672</v>
      </c>
      <c r="E1512" s="67" t="s">
        <v>4</v>
      </c>
      <c r="G1512" s="68">
        <v>261</v>
      </c>
      <c r="K1512" s="59"/>
    </row>
    <row r="1513" spans="1:76" x14ac:dyDescent="0.25">
      <c r="A1513" s="1" t="s">
        <v>2788</v>
      </c>
      <c r="B1513" s="2" t="s">
        <v>93</v>
      </c>
      <c r="C1513" s="2" t="s">
        <v>2789</v>
      </c>
      <c r="D1513" s="86" t="s">
        <v>2790</v>
      </c>
      <c r="E1513" s="81"/>
      <c r="F1513" s="2" t="s">
        <v>239</v>
      </c>
      <c r="G1513" s="34">
        <v>261</v>
      </c>
      <c r="H1513" s="64">
        <v>0</v>
      </c>
      <c r="I1513" s="34">
        <f>ROUND(G1513*H1513,2)</f>
        <v>0</v>
      </c>
      <c r="J1513" s="65" t="s">
        <v>133</v>
      </c>
      <c r="K1513" s="59"/>
      <c r="Z1513" s="34">
        <f>ROUND(IF(AQ1513="5",BJ1513,0),2)</f>
        <v>0</v>
      </c>
      <c r="AB1513" s="34">
        <f>ROUND(IF(AQ1513="1",BH1513,0),2)</f>
        <v>0</v>
      </c>
      <c r="AC1513" s="34">
        <f>ROUND(IF(AQ1513="1",BI1513,0),2)</f>
        <v>0</v>
      </c>
      <c r="AD1513" s="34">
        <f>ROUND(IF(AQ1513="7",BH1513,0),2)</f>
        <v>0</v>
      </c>
      <c r="AE1513" s="34">
        <f>ROUND(IF(AQ1513="7",BI1513,0),2)</f>
        <v>0</v>
      </c>
      <c r="AF1513" s="34">
        <f>ROUND(IF(AQ1513="2",BH1513,0),2)</f>
        <v>0</v>
      </c>
      <c r="AG1513" s="34">
        <f>ROUND(IF(AQ1513="2",BI1513,0),2)</f>
        <v>0</v>
      </c>
      <c r="AH1513" s="34">
        <f>ROUND(IF(AQ1513="0",BJ1513,0),2)</f>
        <v>0</v>
      </c>
      <c r="AI1513" s="46" t="s">
        <v>93</v>
      </c>
      <c r="AJ1513" s="34">
        <f>IF(AN1513=0,I1513,0)</f>
        <v>0</v>
      </c>
      <c r="AK1513" s="34">
        <f>IF(AN1513=12,I1513,0)</f>
        <v>0</v>
      </c>
      <c r="AL1513" s="34">
        <f>IF(AN1513=21,I1513,0)</f>
        <v>0</v>
      </c>
      <c r="AN1513" s="34">
        <v>21</v>
      </c>
      <c r="AO1513" s="34">
        <f>H1513*0.248562419</f>
        <v>0</v>
      </c>
      <c r="AP1513" s="34">
        <f>H1513*(1-0.248562419)</f>
        <v>0</v>
      </c>
      <c r="AQ1513" s="65" t="s">
        <v>175</v>
      </c>
      <c r="AV1513" s="34">
        <f>ROUND(AW1513+AX1513,2)</f>
        <v>0</v>
      </c>
      <c r="AW1513" s="34">
        <f>ROUND(G1513*AO1513,2)</f>
        <v>0</v>
      </c>
      <c r="AX1513" s="34">
        <f>ROUND(G1513*AP1513,2)</f>
        <v>0</v>
      </c>
      <c r="AY1513" s="65" t="s">
        <v>1065</v>
      </c>
      <c r="AZ1513" s="65" t="s">
        <v>2616</v>
      </c>
      <c r="BA1513" s="46" t="s">
        <v>2557</v>
      </c>
      <c r="BC1513" s="34">
        <f>AW1513+AX1513</f>
        <v>0</v>
      </c>
      <c r="BD1513" s="34">
        <f>H1513/(100-BE1513)*100</f>
        <v>0</v>
      </c>
      <c r="BE1513" s="34">
        <v>0</v>
      </c>
      <c r="BF1513" s="34">
        <f>1513</f>
        <v>1513</v>
      </c>
      <c r="BH1513" s="34">
        <f>G1513*AO1513</f>
        <v>0</v>
      </c>
      <c r="BI1513" s="34">
        <f>G1513*AP1513</f>
        <v>0</v>
      </c>
      <c r="BJ1513" s="34">
        <f>G1513*H1513</f>
        <v>0</v>
      </c>
      <c r="BK1513" s="34"/>
      <c r="BL1513" s="34">
        <v>722</v>
      </c>
      <c r="BW1513" s="34">
        <v>21</v>
      </c>
      <c r="BX1513" s="3" t="s">
        <v>2790</v>
      </c>
    </row>
    <row r="1514" spans="1:76" x14ac:dyDescent="0.25">
      <c r="A1514" s="66"/>
      <c r="D1514" s="67" t="s">
        <v>1672</v>
      </c>
      <c r="E1514" s="67" t="s">
        <v>4</v>
      </c>
      <c r="G1514" s="68">
        <v>261</v>
      </c>
      <c r="K1514" s="59"/>
    </row>
    <row r="1515" spans="1:76" x14ac:dyDescent="0.25">
      <c r="A1515" s="60" t="s">
        <v>4</v>
      </c>
      <c r="B1515" s="61" t="s">
        <v>93</v>
      </c>
      <c r="C1515" s="61" t="s">
        <v>1067</v>
      </c>
      <c r="D1515" s="167" t="s">
        <v>1068</v>
      </c>
      <c r="E1515" s="168"/>
      <c r="F1515" s="62" t="s">
        <v>79</v>
      </c>
      <c r="G1515" s="62" t="s">
        <v>79</v>
      </c>
      <c r="H1515" s="63" t="s">
        <v>79</v>
      </c>
      <c r="I1515" s="39">
        <f>SUM(I1516:I1569)</f>
        <v>0</v>
      </c>
      <c r="J1515" s="46" t="s">
        <v>4</v>
      </c>
      <c r="K1515" s="59"/>
      <c r="AI1515" s="46" t="s">
        <v>93</v>
      </c>
      <c r="AS1515" s="39">
        <f>SUM(AJ1516:AJ1569)</f>
        <v>0</v>
      </c>
      <c r="AT1515" s="39">
        <f>SUM(AK1516:AK1569)</f>
        <v>0</v>
      </c>
      <c r="AU1515" s="39">
        <f>SUM(AL1516:AL1569)</f>
        <v>0</v>
      </c>
    </row>
    <row r="1516" spans="1:76" x14ac:dyDescent="0.25">
      <c r="A1516" s="1" t="s">
        <v>2791</v>
      </c>
      <c r="B1516" s="2" t="s">
        <v>93</v>
      </c>
      <c r="C1516" s="2" t="s">
        <v>2792</v>
      </c>
      <c r="D1516" s="86" t="s">
        <v>2793</v>
      </c>
      <c r="E1516" s="81"/>
      <c r="F1516" s="2" t="s">
        <v>1072</v>
      </c>
      <c r="G1516" s="34">
        <v>71</v>
      </c>
      <c r="H1516" s="64">
        <v>0</v>
      </c>
      <c r="I1516" s="34">
        <f>ROUND(G1516*H1516,2)</f>
        <v>0</v>
      </c>
      <c r="J1516" s="65" t="s">
        <v>133</v>
      </c>
      <c r="K1516" s="59"/>
      <c r="Z1516" s="34">
        <f>ROUND(IF(AQ1516="5",BJ1516,0),2)</f>
        <v>0</v>
      </c>
      <c r="AB1516" s="34">
        <f>ROUND(IF(AQ1516="1",BH1516,0),2)</f>
        <v>0</v>
      </c>
      <c r="AC1516" s="34">
        <f>ROUND(IF(AQ1516="1",BI1516,0),2)</f>
        <v>0</v>
      </c>
      <c r="AD1516" s="34">
        <f>ROUND(IF(AQ1516="7",BH1516,0),2)</f>
        <v>0</v>
      </c>
      <c r="AE1516" s="34">
        <f>ROUND(IF(AQ1516="7",BI1516,0),2)</f>
        <v>0</v>
      </c>
      <c r="AF1516" s="34">
        <f>ROUND(IF(AQ1516="2",BH1516,0),2)</f>
        <v>0</v>
      </c>
      <c r="AG1516" s="34">
        <f>ROUND(IF(AQ1516="2",BI1516,0),2)</f>
        <v>0</v>
      </c>
      <c r="AH1516" s="34">
        <f>ROUND(IF(AQ1516="0",BJ1516,0),2)</f>
        <v>0</v>
      </c>
      <c r="AI1516" s="46" t="s">
        <v>93</v>
      </c>
      <c r="AJ1516" s="34">
        <f>IF(AN1516=0,I1516,0)</f>
        <v>0</v>
      </c>
      <c r="AK1516" s="34">
        <f>IF(AN1516=12,I1516,0)</f>
        <v>0</v>
      </c>
      <c r="AL1516" s="34">
        <f>IF(AN1516=21,I1516,0)</f>
        <v>0</v>
      </c>
      <c r="AN1516" s="34">
        <v>21</v>
      </c>
      <c r="AO1516" s="34">
        <f>H1516*0.777876697</f>
        <v>0</v>
      </c>
      <c r="AP1516" s="34">
        <f>H1516*(1-0.777876697)</f>
        <v>0</v>
      </c>
      <c r="AQ1516" s="65" t="s">
        <v>175</v>
      </c>
      <c r="AV1516" s="34">
        <f>ROUND(AW1516+AX1516,2)</f>
        <v>0</v>
      </c>
      <c r="AW1516" s="34">
        <f>ROUND(G1516*AO1516,2)</f>
        <v>0</v>
      </c>
      <c r="AX1516" s="34">
        <f>ROUND(G1516*AP1516,2)</f>
        <v>0</v>
      </c>
      <c r="AY1516" s="65" t="s">
        <v>1073</v>
      </c>
      <c r="AZ1516" s="65" t="s">
        <v>2616</v>
      </c>
      <c r="BA1516" s="46" t="s">
        <v>2557</v>
      </c>
      <c r="BC1516" s="34">
        <f>AW1516+AX1516</f>
        <v>0</v>
      </c>
      <c r="BD1516" s="34">
        <f>H1516/(100-BE1516)*100</f>
        <v>0</v>
      </c>
      <c r="BE1516" s="34">
        <v>0</v>
      </c>
      <c r="BF1516" s="34">
        <f>1516</f>
        <v>1516</v>
      </c>
      <c r="BH1516" s="34">
        <f>G1516*AO1516</f>
        <v>0</v>
      </c>
      <c r="BI1516" s="34">
        <f>G1516*AP1516</f>
        <v>0</v>
      </c>
      <c r="BJ1516" s="34">
        <f>G1516*H1516</f>
        <v>0</v>
      </c>
      <c r="BK1516" s="34"/>
      <c r="BL1516" s="34">
        <v>725</v>
      </c>
      <c r="BW1516" s="34">
        <v>21</v>
      </c>
      <c r="BX1516" s="3" t="s">
        <v>2793</v>
      </c>
    </row>
    <row r="1517" spans="1:76" x14ac:dyDescent="0.25">
      <c r="A1517" s="66"/>
      <c r="D1517" s="67" t="s">
        <v>639</v>
      </c>
      <c r="E1517" s="67" t="s">
        <v>4</v>
      </c>
      <c r="G1517" s="68">
        <v>71</v>
      </c>
      <c r="K1517" s="59"/>
    </row>
    <row r="1518" spans="1:76" x14ac:dyDescent="0.25">
      <c r="A1518" s="1" t="s">
        <v>2794</v>
      </c>
      <c r="B1518" s="2" t="s">
        <v>93</v>
      </c>
      <c r="C1518" s="2" t="s">
        <v>2795</v>
      </c>
      <c r="D1518" s="86" t="s">
        <v>2796</v>
      </c>
      <c r="E1518" s="81"/>
      <c r="F1518" s="2" t="s">
        <v>258</v>
      </c>
      <c r="G1518" s="34">
        <v>20</v>
      </c>
      <c r="H1518" s="64">
        <v>0</v>
      </c>
      <c r="I1518" s="34">
        <f>ROUND(G1518*H1518,2)</f>
        <v>0</v>
      </c>
      <c r="J1518" s="65" t="s">
        <v>133</v>
      </c>
      <c r="K1518" s="59"/>
      <c r="Z1518" s="34">
        <f>ROUND(IF(AQ1518="5",BJ1518,0),2)</f>
        <v>0</v>
      </c>
      <c r="AB1518" s="34">
        <f>ROUND(IF(AQ1518="1",BH1518,0),2)</f>
        <v>0</v>
      </c>
      <c r="AC1518" s="34">
        <f>ROUND(IF(AQ1518="1",BI1518,0),2)</f>
        <v>0</v>
      </c>
      <c r="AD1518" s="34">
        <f>ROUND(IF(AQ1518="7",BH1518,0),2)</f>
        <v>0</v>
      </c>
      <c r="AE1518" s="34">
        <f>ROUND(IF(AQ1518="7",BI1518,0),2)</f>
        <v>0</v>
      </c>
      <c r="AF1518" s="34">
        <f>ROUND(IF(AQ1518="2",BH1518,0),2)</f>
        <v>0</v>
      </c>
      <c r="AG1518" s="34">
        <f>ROUND(IF(AQ1518="2",BI1518,0),2)</f>
        <v>0</v>
      </c>
      <c r="AH1518" s="34">
        <f>ROUND(IF(AQ1518="0",BJ1518,0),2)</f>
        <v>0</v>
      </c>
      <c r="AI1518" s="46" t="s">
        <v>93</v>
      </c>
      <c r="AJ1518" s="34">
        <f>IF(AN1518=0,I1518,0)</f>
        <v>0</v>
      </c>
      <c r="AK1518" s="34">
        <f>IF(AN1518=12,I1518,0)</f>
        <v>0</v>
      </c>
      <c r="AL1518" s="34">
        <f>IF(AN1518=21,I1518,0)</f>
        <v>0</v>
      </c>
      <c r="AN1518" s="34">
        <v>21</v>
      </c>
      <c r="AO1518" s="34">
        <f>H1518*0.896185906</f>
        <v>0</v>
      </c>
      <c r="AP1518" s="34">
        <f>H1518*(1-0.896185906)</f>
        <v>0</v>
      </c>
      <c r="AQ1518" s="65" t="s">
        <v>175</v>
      </c>
      <c r="AV1518" s="34">
        <f>ROUND(AW1518+AX1518,2)</f>
        <v>0</v>
      </c>
      <c r="AW1518" s="34">
        <f>ROUND(G1518*AO1518,2)</f>
        <v>0</v>
      </c>
      <c r="AX1518" s="34">
        <f>ROUND(G1518*AP1518,2)</f>
        <v>0</v>
      </c>
      <c r="AY1518" s="65" t="s">
        <v>1073</v>
      </c>
      <c r="AZ1518" s="65" t="s">
        <v>2616</v>
      </c>
      <c r="BA1518" s="46" t="s">
        <v>2557</v>
      </c>
      <c r="BC1518" s="34">
        <f>AW1518+AX1518</f>
        <v>0</v>
      </c>
      <c r="BD1518" s="34">
        <f>H1518/(100-BE1518)*100</f>
        <v>0</v>
      </c>
      <c r="BE1518" s="34">
        <v>0</v>
      </c>
      <c r="BF1518" s="34">
        <f>1518</f>
        <v>1518</v>
      </c>
      <c r="BH1518" s="34">
        <f>G1518*AO1518</f>
        <v>0</v>
      </c>
      <c r="BI1518" s="34">
        <f>G1518*AP1518</f>
        <v>0</v>
      </c>
      <c r="BJ1518" s="34">
        <f>G1518*H1518</f>
        <v>0</v>
      </c>
      <c r="BK1518" s="34"/>
      <c r="BL1518" s="34">
        <v>725</v>
      </c>
      <c r="BW1518" s="34">
        <v>21</v>
      </c>
      <c r="BX1518" s="3" t="s">
        <v>2796</v>
      </c>
    </row>
    <row r="1519" spans="1:76" ht="13.5" customHeight="1" x14ac:dyDescent="0.25">
      <c r="A1519" s="66"/>
      <c r="C1519" s="69" t="s">
        <v>204</v>
      </c>
      <c r="D1519" s="169" t="s">
        <v>2797</v>
      </c>
      <c r="E1519" s="170"/>
      <c r="F1519" s="170"/>
      <c r="G1519" s="170"/>
      <c r="H1519" s="171"/>
      <c r="I1519" s="170"/>
      <c r="J1519" s="170"/>
      <c r="K1519" s="172"/>
    </row>
    <row r="1520" spans="1:76" x14ac:dyDescent="0.25">
      <c r="A1520" s="66"/>
      <c r="D1520" s="67" t="s">
        <v>273</v>
      </c>
      <c r="E1520" s="67" t="s">
        <v>4</v>
      </c>
      <c r="G1520" s="68">
        <v>20</v>
      </c>
      <c r="K1520" s="59"/>
    </row>
    <row r="1521" spans="1:76" x14ac:dyDescent="0.25">
      <c r="A1521" s="1" t="s">
        <v>2798</v>
      </c>
      <c r="B1521" s="2" t="s">
        <v>93</v>
      </c>
      <c r="C1521" s="2" t="s">
        <v>2799</v>
      </c>
      <c r="D1521" s="86" t="s">
        <v>2800</v>
      </c>
      <c r="E1521" s="81"/>
      <c r="F1521" s="2" t="s">
        <v>258</v>
      </c>
      <c r="G1521" s="34">
        <v>2</v>
      </c>
      <c r="H1521" s="64">
        <v>0</v>
      </c>
      <c r="I1521" s="34">
        <f>ROUND(G1521*H1521,2)</f>
        <v>0</v>
      </c>
      <c r="J1521" s="65" t="s">
        <v>133</v>
      </c>
      <c r="K1521" s="59"/>
      <c r="Z1521" s="34">
        <f>ROUND(IF(AQ1521="5",BJ1521,0),2)</f>
        <v>0</v>
      </c>
      <c r="AB1521" s="34">
        <f>ROUND(IF(AQ1521="1",BH1521,0),2)</f>
        <v>0</v>
      </c>
      <c r="AC1521" s="34">
        <f>ROUND(IF(AQ1521="1",BI1521,0),2)</f>
        <v>0</v>
      </c>
      <c r="AD1521" s="34">
        <f>ROUND(IF(AQ1521="7",BH1521,0),2)</f>
        <v>0</v>
      </c>
      <c r="AE1521" s="34">
        <f>ROUND(IF(AQ1521="7",BI1521,0),2)</f>
        <v>0</v>
      </c>
      <c r="AF1521" s="34">
        <f>ROUND(IF(AQ1521="2",BH1521,0),2)</f>
        <v>0</v>
      </c>
      <c r="AG1521" s="34">
        <f>ROUND(IF(AQ1521="2",BI1521,0),2)</f>
        <v>0</v>
      </c>
      <c r="AH1521" s="34">
        <f>ROUND(IF(AQ1521="0",BJ1521,0),2)</f>
        <v>0</v>
      </c>
      <c r="AI1521" s="46" t="s">
        <v>93</v>
      </c>
      <c r="AJ1521" s="34">
        <f>IF(AN1521=0,I1521,0)</f>
        <v>0</v>
      </c>
      <c r="AK1521" s="34">
        <f>IF(AN1521=12,I1521,0)</f>
        <v>0</v>
      </c>
      <c r="AL1521" s="34">
        <f>IF(AN1521=21,I1521,0)</f>
        <v>0</v>
      </c>
      <c r="AN1521" s="34">
        <v>21</v>
      </c>
      <c r="AO1521" s="34">
        <f>H1521*0.878095455</f>
        <v>0</v>
      </c>
      <c r="AP1521" s="34">
        <f>H1521*(1-0.878095455)</f>
        <v>0</v>
      </c>
      <c r="AQ1521" s="65" t="s">
        <v>175</v>
      </c>
      <c r="AV1521" s="34">
        <f>ROUND(AW1521+AX1521,2)</f>
        <v>0</v>
      </c>
      <c r="AW1521" s="34">
        <f>ROUND(G1521*AO1521,2)</f>
        <v>0</v>
      </c>
      <c r="AX1521" s="34">
        <f>ROUND(G1521*AP1521,2)</f>
        <v>0</v>
      </c>
      <c r="AY1521" s="65" t="s">
        <v>1073</v>
      </c>
      <c r="AZ1521" s="65" t="s">
        <v>2616</v>
      </c>
      <c r="BA1521" s="46" t="s">
        <v>2557</v>
      </c>
      <c r="BC1521" s="34">
        <f>AW1521+AX1521</f>
        <v>0</v>
      </c>
      <c r="BD1521" s="34">
        <f>H1521/(100-BE1521)*100</f>
        <v>0</v>
      </c>
      <c r="BE1521" s="34">
        <v>0</v>
      </c>
      <c r="BF1521" s="34">
        <f>1521</f>
        <v>1521</v>
      </c>
      <c r="BH1521" s="34">
        <f>G1521*AO1521</f>
        <v>0</v>
      </c>
      <c r="BI1521" s="34">
        <f>G1521*AP1521</f>
        <v>0</v>
      </c>
      <c r="BJ1521" s="34">
        <f>G1521*H1521</f>
        <v>0</v>
      </c>
      <c r="BK1521" s="34"/>
      <c r="BL1521" s="34">
        <v>725</v>
      </c>
      <c r="BW1521" s="34">
        <v>21</v>
      </c>
      <c r="BX1521" s="3" t="s">
        <v>2800</v>
      </c>
    </row>
    <row r="1522" spans="1:76" ht="13.5" customHeight="1" x14ac:dyDescent="0.25">
      <c r="A1522" s="66"/>
      <c r="C1522" s="69" t="s">
        <v>204</v>
      </c>
      <c r="D1522" s="169" t="s">
        <v>2801</v>
      </c>
      <c r="E1522" s="170"/>
      <c r="F1522" s="170"/>
      <c r="G1522" s="170"/>
      <c r="H1522" s="171"/>
      <c r="I1522" s="170"/>
      <c r="J1522" s="170"/>
      <c r="K1522" s="172"/>
    </row>
    <row r="1523" spans="1:76" x14ac:dyDescent="0.25">
      <c r="A1523" s="66"/>
      <c r="D1523" s="67" t="s">
        <v>140</v>
      </c>
      <c r="E1523" s="67" t="s">
        <v>2802</v>
      </c>
      <c r="G1523" s="68">
        <v>2</v>
      </c>
      <c r="K1523" s="59"/>
    </row>
    <row r="1524" spans="1:76" x14ac:dyDescent="0.25">
      <c r="A1524" s="1" t="s">
        <v>2803</v>
      </c>
      <c r="B1524" s="2" t="s">
        <v>93</v>
      </c>
      <c r="C1524" s="2" t="s">
        <v>2804</v>
      </c>
      <c r="D1524" s="86" t="s">
        <v>2805</v>
      </c>
      <c r="E1524" s="81"/>
      <c r="F1524" s="2" t="s">
        <v>258</v>
      </c>
      <c r="G1524" s="34">
        <v>1</v>
      </c>
      <c r="H1524" s="64">
        <v>0</v>
      </c>
      <c r="I1524" s="34">
        <f>ROUND(G1524*H1524,2)</f>
        <v>0</v>
      </c>
      <c r="J1524" s="65" t="s">
        <v>133</v>
      </c>
      <c r="K1524" s="59"/>
      <c r="Z1524" s="34">
        <f>ROUND(IF(AQ1524="5",BJ1524,0),2)</f>
        <v>0</v>
      </c>
      <c r="AB1524" s="34">
        <f>ROUND(IF(AQ1524="1",BH1524,0),2)</f>
        <v>0</v>
      </c>
      <c r="AC1524" s="34">
        <f>ROUND(IF(AQ1524="1",BI1524,0),2)</f>
        <v>0</v>
      </c>
      <c r="AD1524" s="34">
        <f>ROUND(IF(AQ1524="7",BH1524,0),2)</f>
        <v>0</v>
      </c>
      <c r="AE1524" s="34">
        <f>ROUND(IF(AQ1524="7",BI1524,0),2)</f>
        <v>0</v>
      </c>
      <c r="AF1524" s="34">
        <f>ROUND(IF(AQ1524="2",BH1524,0),2)</f>
        <v>0</v>
      </c>
      <c r="AG1524" s="34">
        <f>ROUND(IF(AQ1524="2",BI1524,0),2)</f>
        <v>0</v>
      </c>
      <c r="AH1524" s="34">
        <f>ROUND(IF(AQ1524="0",BJ1524,0),2)</f>
        <v>0</v>
      </c>
      <c r="AI1524" s="46" t="s">
        <v>93</v>
      </c>
      <c r="AJ1524" s="34">
        <f>IF(AN1524=0,I1524,0)</f>
        <v>0</v>
      </c>
      <c r="AK1524" s="34">
        <f>IF(AN1524=12,I1524,0)</f>
        <v>0</v>
      </c>
      <c r="AL1524" s="34">
        <f>IF(AN1524=21,I1524,0)</f>
        <v>0</v>
      </c>
      <c r="AN1524" s="34">
        <v>21</v>
      </c>
      <c r="AO1524" s="34">
        <f>H1524*0.85526477</f>
        <v>0</v>
      </c>
      <c r="AP1524" s="34">
        <f>H1524*(1-0.85526477)</f>
        <v>0</v>
      </c>
      <c r="AQ1524" s="65" t="s">
        <v>175</v>
      </c>
      <c r="AV1524" s="34">
        <f>ROUND(AW1524+AX1524,2)</f>
        <v>0</v>
      </c>
      <c r="AW1524" s="34">
        <f>ROUND(G1524*AO1524,2)</f>
        <v>0</v>
      </c>
      <c r="AX1524" s="34">
        <f>ROUND(G1524*AP1524,2)</f>
        <v>0</v>
      </c>
      <c r="AY1524" s="65" t="s">
        <v>1073</v>
      </c>
      <c r="AZ1524" s="65" t="s">
        <v>2616</v>
      </c>
      <c r="BA1524" s="46" t="s">
        <v>2557</v>
      </c>
      <c r="BC1524" s="34">
        <f>AW1524+AX1524</f>
        <v>0</v>
      </c>
      <c r="BD1524" s="34">
        <f>H1524/(100-BE1524)*100</f>
        <v>0</v>
      </c>
      <c r="BE1524" s="34">
        <v>0</v>
      </c>
      <c r="BF1524" s="34">
        <f>1524</f>
        <v>1524</v>
      </c>
      <c r="BH1524" s="34">
        <f>G1524*AO1524</f>
        <v>0</v>
      </c>
      <c r="BI1524" s="34">
        <f>G1524*AP1524</f>
        <v>0</v>
      </c>
      <c r="BJ1524" s="34">
        <f>G1524*H1524</f>
        <v>0</v>
      </c>
      <c r="BK1524" s="34"/>
      <c r="BL1524" s="34">
        <v>725</v>
      </c>
      <c r="BW1524" s="34">
        <v>21</v>
      </c>
      <c r="BX1524" s="3" t="s">
        <v>2805</v>
      </c>
    </row>
    <row r="1525" spans="1:76" ht="13.5" customHeight="1" x14ac:dyDescent="0.25">
      <c r="A1525" s="66"/>
      <c r="C1525" s="69" t="s">
        <v>204</v>
      </c>
      <c r="D1525" s="169" t="s">
        <v>2797</v>
      </c>
      <c r="E1525" s="170"/>
      <c r="F1525" s="170"/>
      <c r="G1525" s="170"/>
      <c r="H1525" s="171"/>
      <c r="I1525" s="170"/>
      <c r="J1525" s="170"/>
      <c r="K1525" s="172"/>
    </row>
    <row r="1526" spans="1:76" x14ac:dyDescent="0.25">
      <c r="A1526" s="66"/>
      <c r="D1526" s="67" t="s">
        <v>129</v>
      </c>
      <c r="E1526" s="67" t="s">
        <v>4</v>
      </c>
      <c r="G1526" s="68">
        <v>1</v>
      </c>
      <c r="K1526" s="59"/>
    </row>
    <row r="1527" spans="1:76" x14ac:dyDescent="0.25">
      <c r="A1527" s="1" t="s">
        <v>2806</v>
      </c>
      <c r="B1527" s="2" t="s">
        <v>93</v>
      </c>
      <c r="C1527" s="2" t="s">
        <v>2807</v>
      </c>
      <c r="D1527" s="86" t="s">
        <v>2808</v>
      </c>
      <c r="E1527" s="81"/>
      <c r="F1527" s="2" t="s">
        <v>258</v>
      </c>
      <c r="G1527" s="34">
        <v>21</v>
      </c>
      <c r="H1527" s="64">
        <v>0</v>
      </c>
      <c r="I1527" s="34">
        <f>ROUND(G1527*H1527,2)</f>
        <v>0</v>
      </c>
      <c r="J1527" s="65" t="s">
        <v>133</v>
      </c>
      <c r="K1527" s="59"/>
      <c r="Z1527" s="34">
        <f>ROUND(IF(AQ1527="5",BJ1527,0),2)</f>
        <v>0</v>
      </c>
      <c r="AB1527" s="34">
        <f>ROUND(IF(AQ1527="1",BH1527,0),2)</f>
        <v>0</v>
      </c>
      <c r="AC1527" s="34">
        <f>ROUND(IF(AQ1527="1",BI1527,0),2)</f>
        <v>0</v>
      </c>
      <c r="AD1527" s="34">
        <f>ROUND(IF(AQ1527="7",BH1527,0),2)</f>
        <v>0</v>
      </c>
      <c r="AE1527" s="34">
        <f>ROUND(IF(AQ1527="7",BI1527,0),2)</f>
        <v>0</v>
      </c>
      <c r="AF1527" s="34">
        <f>ROUND(IF(AQ1527="2",BH1527,0),2)</f>
        <v>0</v>
      </c>
      <c r="AG1527" s="34">
        <f>ROUND(IF(AQ1527="2",BI1527,0),2)</f>
        <v>0</v>
      </c>
      <c r="AH1527" s="34">
        <f>ROUND(IF(AQ1527="0",BJ1527,0),2)</f>
        <v>0</v>
      </c>
      <c r="AI1527" s="46" t="s">
        <v>93</v>
      </c>
      <c r="AJ1527" s="34">
        <f>IF(AN1527=0,I1527,0)</f>
        <v>0</v>
      </c>
      <c r="AK1527" s="34">
        <f>IF(AN1527=12,I1527,0)</f>
        <v>0</v>
      </c>
      <c r="AL1527" s="34">
        <f>IF(AN1527=21,I1527,0)</f>
        <v>0</v>
      </c>
      <c r="AN1527" s="34">
        <v>21</v>
      </c>
      <c r="AO1527" s="34">
        <f>H1527*0.894276372</f>
        <v>0</v>
      </c>
      <c r="AP1527" s="34">
        <f>H1527*(1-0.894276372)</f>
        <v>0</v>
      </c>
      <c r="AQ1527" s="65" t="s">
        <v>175</v>
      </c>
      <c r="AV1527" s="34">
        <f>ROUND(AW1527+AX1527,2)</f>
        <v>0</v>
      </c>
      <c r="AW1527" s="34">
        <f>ROUND(G1527*AO1527,2)</f>
        <v>0</v>
      </c>
      <c r="AX1527" s="34">
        <f>ROUND(G1527*AP1527,2)</f>
        <v>0</v>
      </c>
      <c r="AY1527" s="65" t="s">
        <v>1073</v>
      </c>
      <c r="AZ1527" s="65" t="s">
        <v>2616</v>
      </c>
      <c r="BA1527" s="46" t="s">
        <v>2557</v>
      </c>
      <c r="BC1527" s="34">
        <f>AW1527+AX1527</f>
        <v>0</v>
      </c>
      <c r="BD1527" s="34">
        <f>H1527/(100-BE1527)*100</f>
        <v>0</v>
      </c>
      <c r="BE1527" s="34">
        <v>0</v>
      </c>
      <c r="BF1527" s="34">
        <f>1527</f>
        <v>1527</v>
      </c>
      <c r="BH1527" s="34">
        <f>G1527*AO1527</f>
        <v>0</v>
      </c>
      <c r="BI1527" s="34">
        <f>G1527*AP1527</f>
        <v>0</v>
      </c>
      <c r="BJ1527" s="34">
        <f>G1527*H1527</f>
        <v>0</v>
      </c>
      <c r="BK1527" s="34"/>
      <c r="BL1527" s="34">
        <v>725</v>
      </c>
      <c r="BW1527" s="34">
        <v>21</v>
      </c>
      <c r="BX1527" s="3" t="s">
        <v>2808</v>
      </c>
    </row>
    <row r="1528" spans="1:76" x14ac:dyDescent="0.25">
      <c r="A1528" s="66"/>
      <c r="D1528" s="67" t="s">
        <v>276</v>
      </c>
      <c r="E1528" s="67" t="s">
        <v>2809</v>
      </c>
      <c r="G1528" s="68">
        <v>21</v>
      </c>
      <c r="K1528" s="59"/>
    </row>
    <row r="1529" spans="1:76" x14ac:dyDescent="0.25">
      <c r="A1529" s="1" t="s">
        <v>2810</v>
      </c>
      <c r="B1529" s="2" t="s">
        <v>93</v>
      </c>
      <c r="C1529" s="2" t="s">
        <v>2811</v>
      </c>
      <c r="D1529" s="86" t="s">
        <v>2812</v>
      </c>
      <c r="E1529" s="81"/>
      <c r="F1529" s="2" t="s">
        <v>258</v>
      </c>
      <c r="G1529" s="34">
        <v>21</v>
      </c>
      <c r="H1529" s="64">
        <v>0</v>
      </c>
      <c r="I1529" s="34">
        <f>ROUND(G1529*H1529,2)</f>
        <v>0</v>
      </c>
      <c r="J1529" s="65" t="s">
        <v>133</v>
      </c>
      <c r="K1529" s="59"/>
      <c r="Z1529" s="34">
        <f>ROUND(IF(AQ1529="5",BJ1529,0),2)</f>
        <v>0</v>
      </c>
      <c r="AB1529" s="34">
        <f>ROUND(IF(AQ1529="1",BH1529,0),2)</f>
        <v>0</v>
      </c>
      <c r="AC1529" s="34">
        <f>ROUND(IF(AQ1529="1",BI1529,0),2)</f>
        <v>0</v>
      </c>
      <c r="AD1529" s="34">
        <f>ROUND(IF(AQ1529="7",BH1529,0),2)</f>
        <v>0</v>
      </c>
      <c r="AE1529" s="34">
        <f>ROUND(IF(AQ1529="7",BI1529,0),2)</f>
        <v>0</v>
      </c>
      <c r="AF1529" s="34">
        <f>ROUND(IF(AQ1529="2",BH1529,0),2)</f>
        <v>0</v>
      </c>
      <c r="AG1529" s="34">
        <f>ROUND(IF(AQ1529="2",BI1529,0),2)</f>
        <v>0</v>
      </c>
      <c r="AH1529" s="34">
        <f>ROUND(IF(AQ1529="0",BJ1529,0),2)</f>
        <v>0</v>
      </c>
      <c r="AI1529" s="46" t="s">
        <v>93</v>
      </c>
      <c r="AJ1529" s="34">
        <f>IF(AN1529=0,I1529,0)</f>
        <v>0</v>
      </c>
      <c r="AK1529" s="34">
        <f>IF(AN1529=12,I1529,0)</f>
        <v>0</v>
      </c>
      <c r="AL1529" s="34">
        <f>IF(AN1529=21,I1529,0)</f>
        <v>0</v>
      </c>
      <c r="AN1529" s="34">
        <v>21</v>
      </c>
      <c r="AO1529" s="34">
        <f>H1529*0.827927475</f>
        <v>0</v>
      </c>
      <c r="AP1529" s="34">
        <f>H1529*(1-0.827927475)</f>
        <v>0</v>
      </c>
      <c r="AQ1529" s="65" t="s">
        <v>175</v>
      </c>
      <c r="AV1529" s="34">
        <f>ROUND(AW1529+AX1529,2)</f>
        <v>0</v>
      </c>
      <c r="AW1529" s="34">
        <f>ROUND(G1529*AO1529,2)</f>
        <v>0</v>
      </c>
      <c r="AX1529" s="34">
        <f>ROUND(G1529*AP1529,2)</f>
        <v>0</v>
      </c>
      <c r="AY1529" s="65" t="s">
        <v>1073</v>
      </c>
      <c r="AZ1529" s="65" t="s">
        <v>2616</v>
      </c>
      <c r="BA1529" s="46" t="s">
        <v>2557</v>
      </c>
      <c r="BC1529" s="34">
        <f>AW1529+AX1529</f>
        <v>0</v>
      </c>
      <c r="BD1529" s="34">
        <f>H1529/(100-BE1529)*100</f>
        <v>0</v>
      </c>
      <c r="BE1529" s="34">
        <v>0</v>
      </c>
      <c r="BF1529" s="34">
        <f>1529</f>
        <v>1529</v>
      </c>
      <c r="BH1529" s="34">
        <f>G1529*AO1529</f>
        <v>0</v>
      </c>
      <c r="BI1529" s="34">
        <f>G1529*AP1529</f>
        <v>0</v>
      </c>
      <c r="BJ1529" s="34">
        <f>G1529*H1529</f>
        <v>0</v>
      </c>
      <c r="BK1529" s="34"/>
      <c r="BL1529" s="34">
        <v>725</v>
      </c>
      <c r="BW1529" s="34">
        <v>21</v>
      </c>
      <c r="BX1529" s="3" t="s">
        <v>2812</v>
      </c>
    </row>
    <row r="1530" spans="1:76" x14ac:dyDescent="0.25">
      <c r="A1530" s="66"/>
      <c r="D1530" s="67" t="s">
        <v>276</v>
      </c>
      <c r="E1530" s="67" t="s">
        <v>2813</v>
      </c>
      <c r="G1530" s="68">
        <v>21</v>
      </c>
      <c r="K1530" s="59"/>
    </row>
    <row r="1531" spans="1:76" x14ac:dyDescent="0.25">
      <c r="A1531" s="1" t="s">
        <v>2814</v>
      </c>
      <c r="B1531" s="2" t="s">
        <v>93</v>
      </c>
      <c r="C1531" s="2" t="s">
        <v>2815</v>
      </c>
      <c r="D1531" s="86" t="s">
        <v>2816</v>
      </c>
      <c r="E1531" s="81"/>
      <c r="F1531" s="2" t="s">
        <v>1072</v>
      </c>
      <c r="G1531" s="34">
        <v>21</v>
      </c>
      <c r="H1531" s="64">
        <v>0</v>
      </c>
      <c r="I1531" s="34">
        <f>ROUND(G1531*H1531,2)</f>
        <v>0</v>
      </c>
      <c r="J1531" s="65" t="s">
        <v>133</v>
      </c>
      <c r="K1531" s="59"/>
      <c r="Z1531" s="34">
        <f>ROUND(IF(AQ1531="5",BJ1531,0),2)</f>
        <v>0</v>
      </c>
      <c r="AB1531" s="34">
        <f>ROUND(IF(AQ1531="1",BH1531,0),2)</f>
        <v>0</v>
      </c>
      <c r="AC1531" s="34">
        <f>ROUND(IF(AQ1531="1",BI1531,0),2)</f>
        <v>0</v>
      </c>
      <c r="AD1531" s="34">
        <f>ROUND(IF(AQ1531="7",BH1531,0),2)</f>
        <v>0</v>
      </c>
      <c r="AE1531" s="34">
        <f>ROUND(IF(AQ1531="7",BI1531,0),2)</f>
        <v>0</v>
      </c>
      <c r="AF1531" s="34">
        <f>ROUND(IF(AQ1531="2",BH1531,0),2)</f>
        <v>0</v>
      </c>
      <c r="AG1531" s="34">
        <f>ROUND(IF(AQ1531="2",BI1531,0),2)</f>
        <v>0</v>
      </c>
      <c r="AH1531" s="34">
        <f>ROUND(IF(AQ1531="0",BJ1531,0),2)</f>
        <v>0</v>
      </c>
      <c r="AI1531" s="46" t="s">
        <v>93</v>
      </c>
      <c r="AJ1531" s="34">
        <f>IF(AN1531=0,I1531,0)</f>
        <v>0</v>
      </c>
      <c r="AK1531" s="34">
        <f>IF(AN1531=12,I1531,0)</f>
        <v>0</v>
      </c>
      <c r="AL1531" s="34">
        <f>IF(AN1531=21,I1531,0)</f>
        <v>0</v>
      </c>
      <c r="AN1531" s="34">
        <v>21</v>
      </c>
      <c r="AO1531" s="34">
        <f>H1531*0.15896197</f>
        <v>0</v>
      </c>
      <c r="AP1531" s="34">
        <f>H1531*(1-0.15896197)</f>
        <v>0</v>
      </c>
      <c r="AQ1531" s="65" t="s">
        <v>175</v>
      </c>
      <c r="AV1531" s="34">
        <f>ROUND(AW1531+AX1531,2)</f>
        <v>0</v>
      </c>
      <c r="AW1531" s="34">
        <f>ROUND(G1531*AO1531,2)</f>
        <v>0</v>
      </c>
      <c r="AX1531" s="34">
        <f>ROUND(G1531*AP1531,2)</f>
        <v>0</v>
      </c>
      <c r="AY1531" s="65" t="s">
        <v>1073</v>
      </c>
      <c r="AZ1531" s="65" t="s">
        <v>2616</v>
      </c>
      <c r="BA1531" s="46" t="s">
        <v>2557</v>
      </c>
      <c r="BC1531" s="34">
        <f>AW1531+AX1531</f>
        <v>0</v>
      </c>
      <c r="BD1531" s="34">
        <f>H1531/(100-BE1531)*100</f>
        <v>0</v>
      </c>
      <c r="BE1531" s="34">
        <v>0</v>
      </c>
      <c r="BF1531" s="34">
        <f>1531</f>
        <v>1531</v>
      </c>
      <c r="BH1531" s="34">
        <f>G1531*AO1531</f>
        <v>0</v>
      </c>
      <c r="BI1531" s="34">
        <f>G1531*AP1531</f>
        <v>0</v>
      </c>
      <c r="BJ1531" s="34">
        <f>G1531*H1531</f>
        <v>0</v>
      </c>
      <c r="BK1531" s="34"/>
      <c r="BL1531" s="34">
        <v>725</v>
      </c>
      <c r="BW1531" s="34">
        <v>21</v>
      </c>
      <c r="BX1531" s="3" t="s">
        <v>2816</v>
      </c>
    </row>
    <row r="1532" spans="1:76" x14ac:dyDescent="0.25">
      <c r="A1532" s="66"/>
      <c r="D1532" s="67" t="s">
        <v>276</v>
      </c>
      <c r="E1532" s="67" t="s">
        <v>4</v>
      </c>
      <c r="G1532" s="68">
        <v>21</v>
      </c>
      <c r="K1532" s="59"/>
    </row>
    <row r="1533" spans="1:76" x14ac:dyDescent="0.25">
      <c r="A1533" s="1" t="s">
        <v>2817</v>
      </c>
      <c r="B1533" s="2" t="s">
        <v>93</v>
      </c>
      <c r="C1533" s="2" t="s">
        <v>2818</v>
      </c>
      <c r="D1533" s="86" t="s">
        <v>2819</v>
      </c>
      <c r="E1533" s="81"/>
      <c r="F1533" s="2" t="s">
        <v>1072</v>
      </c>
      <c r="G1533" s="34">
        <v>20</v>
      </c>
      <c r="H1533" s="64">
        <v>0</v>
      </c>
      <c r="I1533" s="34">
        <f>ROUND(G1533*H1533,2)</f>
        <v>0</v>
      </c>
      <c r="J1533" s="65" t="s">
        <v>133</v>
      </c>
      <c r="K1533" s="59"/>
      <c r="Z1533" s="34">
        <f>ROUND(IF(AQ1533="5",BJ1533,0),2)</f>
        <v>0</v>
      </c>
      <c r="AB1533" s="34">
        <f>ROUND(IF(AQ1533="1",BH1533,0),2)</f>
        <v>0</v>
      </c>
      <c r="AC1533" s="34">
        <f>ROUND(IF(AQ1533="1",BI1533,0),2)</f>
        <v>0</v>
      </c>
      <c r="AD1533" s="34">
        <f>ROUND(IF(AQ1533="7",BH1533,0),2)</f>
        <v>0</v>
      </c>
      <c r="AE1533" s="34">
        <f>ROUND(IF(AQ1533="7",BI1533,0),2)</f>
        <v>0</v>
      </c>
      <c r="AF1533" s="34">
        <f>ROUND(IF(AQ1533="2",BH1533,0),2)</f>
        <v>0</v>
      </c>
      <c r="AG1533" s="34">
        <f>ROUND(IF(AQ1533="2",BI1533,0),2)</f>
        <v>0</v>
      </c>
      <c r="AH1533" s="34">
        <f>ROUND(IF(AQ1533="0",BJ1533,0),2)</f>
        <v>0</v>
      </c>
      <c r="AI1533" s="46" t="s">
        <v>93</v>
      </c>
      <c r="AJ1533" s="34">
        <f>IF(AN1533=0,I1533,0)</f>
        <v>0</v>
      </c>
      <c r="AK1533" s="34">
        <f>IF(AN1533=12,I1533,0)</f>
        <v>0</v>
      </c>
      <c r="AL1533" s="34">
        <f>IF(AN1533=21,I1533,0)</f>
        <v>0</v>
      </c>
      <c r="AN1533" s="34">
        <v>21</v>
      </c>
      <c r="AO1533" s="34">
        <f>H1533*0.693970464</f>
        <v>0</v>
      </c>
      <c r="AP1533" s="34">
        <f>H1533*(1-0.693970464)</f>
        <v>0</v>
      </c>
      <c r="AQ1533" s="65" t="s">
        <v>175</v>
      </c>
      <c r="AV1533" s="34">
        <f>ROUND(AW1533+AX1533,2)</f>
        <v>0</v>
      </c>
      <c r="AW1533" s="34">
        <f>ROUND(G1533*AO1533,2)</f>
        <v>0</v>
      </c>
      <c r="AX1533" s="34">
        <f>ROUND(G1533*AP1533,2)</f>
        <v>0</v>
      </c>
      <c r="AY1533" s="65" t="s">
        <v>1073</v>
      </c>
      <c r="AZ1533" s="65" t="s">
        <v>2616</v>
      </c>
      <c r="BA1533" s="46" t="s">
        <v>2557</v>
      </c>
      <c r="BC1533" s="34">
        <f>AW1533+AX1533</f>
        <v>0</v>
      </c>
      <c r="BD1533" s="34">
        <f>H1533/(100-BE1533)*100</f>
        <v>0</v>
      </c>
      <c r="BE1533" s="34">
        <v>0</v>
      </c>
      <c r="BF1533" s="34">
        <f>1533</f>
        <v>1533</v>
      </c>
      <c r="BH1533" s="34">
        <f>G1533*AO1533</f>
        <v>0</v>
      </c>
      <c r="BI1533" s="34">
        <f>G1533*AP1533</f>
        <v>0</v>
      </c>
      <c r="BJ1533" s="34">
        <f>G1533*H1533</f>
        <v>0</v>
      </c>
      <c r="BK1533" s="34"/>
      <c r="BL1533" s="34">
        <v>725</v>
      </c>
      <c r="BW1533" s="34">
        <v>21</v>
      </c>
      <c r="BX1533" s="3" t="s">
        <v>2819</v>
      </c>
    </row>
    <row r="1534" spans="1:76" ht="13.5" customHeight="1" x14ac:dyDescent="0.25">
      <c r="A1534" s="66"/>
      <c r="C1534" s="69" t="s">
        <v>204</v>
      </c>
      <c r="D1534" s="169" t="s">
        <v>2820</v>
      </c>
      <c r="E1534" s="170"/>
      <c r="F1534" s="170"/>
      <c r="G1534" s="170"/>
      <c r="H1534" s="171"/>
      <c r="I1534" s="170"/>
      <c r="J1534" s="170"/>
      <c r="K1534" s="172"/>
    </row>
    <row r="1535" spans="1:76" x14ac:dyDescent="0.25">
      <c r="A1535" s="66"/>
      <c r="D1535" s="67" t="s">
        <v>273</v>
      </c>
      <c r="E1535" s="67" t="s">
        <v>4</v>
      </c>
      <c r="G1535" s="68">
        <v>20</v>
      </c>
      <c r="K1535" s="59"/>
    </row>
    <row r="1536" spans="1:76" x14ac:dyDescent="0.25">
      <c r="A1536" s="1" t="s">
        <v>2821</v>
      </c>
      <c r="B1536" s="2" t="s">
        <v>93</v>
      </c>
      <c r="C1536" s="2" t="s">
        <v>2818</v>
      </c>
      <c r="D1536" s="86" t="s">
        <v>2822</v>
      </c>
      <c r="E1536" s="81"/>
      <c r="F1536" s="2" t="s">
        <v>1072</v>
      </c>
      <c r="G1536" s="34">
        <v>1</v>
      </c>
      <c r="H1536" s="64">
        <v>0</v>
      </c>
      <c r="I1536" s="34">
        <f>ROUND(G1536*H1536,2)</f>
        <v>0</v>
      </c>
      <c r="J1536" s="65" t="s">
        <v>133</v>
      </c>
      <c r="K1536" s="59"/>
      <c r="Z1536" s="34">
        <f>ROUND(IF(AQ1536="5",BJ1536,0),2)</f>
        <v>0</v>
      </c>
      <c r="AB1536" s="34">
        <f>ROUND(IF(AQ1536="1",BH1536,0),2)</f>
        <v>0</v>
      </c>
      <c r="AC1536" s="34">
        <f>ROUND(IF(AQ1536="1",BI1536,0),2)</f>
        <v>0</v>
      </c>
      <c r="AD1536" s="34">
        <f>ROUND(IF(AQ1536="7",BH1536,0),2)</f>
        <v>0</v>
      </c>
      <c r="AE1536" s="34">
        <f>ROUND(IF(AQ1536="7",BI1536,0),2)</f>
        <v>0</v>
      </c>
      <c r="AF1536" s="34">
        <f>ROUND(IF(AQ1536="2",BH1536,0),2)</f>
        <v>0</v>
      </c>
      <c r="AG1536" s="34">
        <f>ROUND(IF(AQ1536="2",BI1536,0),2)</f>
        <v>0</v>
      </c>
      <c r="AH1536" s="34">
        <f>ROUND(IF(AQ1536="0",BJ1536,0),2)</f>
        <v>0</v>
      </c>
      <c r="AI1536" s="46" t="s">
        <v>93</v>
      </c>
      <c r="AJ1536" s="34">
        <f>IF(AN1536=0,I1536,0)</f>
        <v>0</v>
      </c>
      <c r="AK1536" s="34">
        <f>IF(AN1536=12,I1536,0)</f>
        <v>0</v>
      </c>
      <c r="AL1536" s="34">
        <f>IF(AN1536=21,I1536,0)</f>
        <v>0</v>
      </c>
      <c r="AN1536" s="34">
        <v>21</v>
      </c>
      <c r="AO1536" s="34">
        <f>H1536*0.693970464</f>
        <v>0</v>
      </c>
      <c r="AP1536" s="34">
        <f>H1536*(1-0.693970464)</f>
        <v>0</v>
      </c>
      <c r="AQ1536" s="65" t="s">
        <v>175</v>
      </c>
      <c r="AV1536" s="34">
        <f>ROUND(AW1536+AX1536,2)</f>
        <v>0</v>
      </c>
      <c r="AW1536" s="34">
        <f>ROUND(G1536*AO1536,2)</f>
        <v>0</v>
      </c>
      <c r="AX1536" s="34">
        <f>ROUND(G1536*AP1536,2)</f>
        <v>0</v>
      </c>
      <c r="AY1536" s="65" t="s">
        <v>1073</v>
      </c>
      <c r="AZ1536" s="65" t="s">
        <v>2616</v>
      </c>
      <c r="BA1536" s="46" t="s">
        <v>2557</v>
      </c>
      <c r="BC1536" s="34">
        <f>AW1536+AX1536</f>
        <v>0</v>
      </c>
      <c r="BD1536" s="34">
        <f>H1536/(100-BE1536)*100</f>
        <v>0</v>
      </c>
      <c r="BE1536" s="34">
        <v>0</v>
      </c>
      <c r="BF1536" s="34">
        <f>1536</f>
        <v>1536</v>
      </c>
      <c r="BH1536" s="34">
        <f>G1536*AO1536</f>
        <v>0</v>
      </c>
      <c r="BI1536" s="34">
        <f>G1536*AP1536</f>
        <v>0</v>
      </c>
      <c r="BJ1536" s="34">
        <f>G1536*H1536</f>
        <v>0</v>
      </c>
      <c r="BK1536" s="34"/>
      <c r="BL1536" s="34">
        <v>725</v>
      </c>
      <c r="BW1536" s="34">
        <v>21</v>
      </c>
      <c r="BX1536" s="3" t="s">
        <v>2822</v>
      </c>
    </row>
    <row r="1537" spans="1:76" ht="13.5" customHeight="1" x14ac:dyDescent="0.25">
      <c r="A1537" s="66"/>
      <c r="C1537" s="69" t="s">
        <v>204</v>
      </c>
      <c r="D1537" s="169" t="s">
        <v>2820</v>
      </c>
      <c r="E1537" s="170"/>
      <c r="F1537" s="170"/>
      <c r="G1537" s="170"/>
      <c r="H1537" s="171"/>
      <c r="I1537" s="170"/>
      <c r="J1537" s="170"/>
      <c r="K1537" s="172"/>
    </row>
    <row r="1538" spans="1:76" x14ac:dyDescent="0.25">
      <c r="A1538" s="66"/>
      <c r="D1538" s="67" t="s">
        <v>129</v>
      </c>
      <c r="E1538" s="67" t="s">
        <v>4</v>
      </c>
      <c r="G1538" s="68">
        <v>1</v>
      </c>
      <c r="K1538" s="59"/>
    </row>
    <row r="1539" spans="1:76" x14ac:dyDescent="0.25">
      <c r="A1539" s="1" t="s">
        <v>2823</v>
      </c>
      <c r="B1539" s="2" t="s">
        <v>93</v>
      </c>
      <c r="C1539" s="2" t="s">
        <v>2824</v>
      </c>
      <c r="D1539" s="86" t="s">
        <v>2825</v>
      </c>
      <c r="E1539" s="81"/>
      <c r="F1539" s="2" t="s">
        <v>258</v>
      </c>
      <c r="G1539" s="34">
        <v>2</v>
      </c>
      <c r="H1539" s="64">
        <v>0</v>
      </c>
      <c r="I1539" s="34">
        <f>ROUND(G1539*H1539,2)</f>
        <v>0</v>
      </c>
      <c r="J1539" s="65" t="s">
        <v>133</v>
      </c>
      <c r="K1539" s="59"/>
      <c r="Z1539" s="34">
        <f>ROUND(IF(AQ1539="5",BJ1539,0),2)</f>
        <v>0</v>
      </c>
      <c r="AB1539" s="34">
        <f>ROUND(IF(AQ1539="1",BH1539,0),2)</f>
        <v>0</v>
      </c>
      <c r="AC1539" s="34">
        <f>ROUND(IF(AQ1539="1",BI1539,0),2)</f>
        <v>0</v>
      </c>
      <c r="AD1539" s="34">
        <f>ROUND(IF(AQ1539="7",BH1539,0),2)</f>
        <v>0</v>
      </c>
      <c r="AE1539" s="34">
        <f>ROUND(IF(AQ1539="7",BI1539,0),2)</f>
        <v>0</v>
      </c>
      <c r="AF1539" s="34">
        <f>ROUND(IF(AQ1539="2",BH1539,0),2)</f>
        <v>0</v>
      </c>
      <c r="AG1539" s="34">
        <f>ROUND(IF(AQ1539="2",BI1539,0),2)</f>
        <v>0</v>
      </c>
      <c r="AH1539" s="34">
        <f>ROUND(IF(AQ1539="0",BJ1539,0),2)</f>
        <v>0</v>
      </c>
      <c r="AI1539" s="46" t="s">
        <v>93</v>
      </c>
      <c r="AJ1539" s="34">
        <f>IF(AN1539=0,I1539,0)</f>
        <v>0</v>
      </c>
      <c r="AK1539" s="34">
        <f>IF(AN1539=12,I1539,0)</f>
        <v>0</v>
      </c>
      <c r="AL1539" s="34">
        <f>IF(AN1539=21,I1539,0)</f>
        <v>0</v>
      </c>
      <c r="AN1539" s="34">
        <v>21</v>
      </c>
      <c r="AO1539" s="34">
        <f>H1539*0.875683805</f>
        <v>0</v>
      </c>
      <c r="AP1539" s="34">
        <f>H1539*(1-0.875683805)</f>
        <v>0</v>
      </c>
      <c r="AQ1539" s="65" t="s">
        <v>175</v>
      </c>
      <c r="AV1539" s="34">
        <f>ROUND(AW1539+AX1539,2)</f>
        <v>0</v>
      </c>
      <c r="AW1539" s="34">
        <f>ROUND(G1539*AO1539,2)</f>
        <v>0</v>
      </c>
      <c r="AX1539" s="34">
        <f>ROUND(G1539*AP1539,2)</f>
        <v>0</v>
      </c>
      <c r="AY1539" s="65" t="s">
        <v>1073</v>
      </c>
      <c r="AZ1539" s="65" t="s">
        <v>2616</v>
      </c>
      <c r="BA1539" s="46" t="s">
        <v>2557</v>
      </c>
      <c r="BC1539" s="34">
        <f>AW1539+AX1539</f>
        <v>0</v>
      </c>
      <c r="BD1539" s="34">
        <f>H1539/(100-BE1539)*100</f>
        <v>0</v>
      </c>
      <c r="BE1539" s="34">
        <v>0</v>
      </c>
      <c r="BF1539" s="34">
        <f>1539</f>
        <v>1539</v>
      </c>
      <c r="BH1539" s="34">
        <f>G1539*AO1539</f>
        <v>0</v>
      </c>
      <c r="BI1539" s="34">
        <f>G1539*AP1539</f>
        <v>0</v>
      </c>
      <c r="BJ1539" s="34">
        <f>G1539*H1539</f>
        <v>0</v>
      </c>
      <c r="BK1539" s="34"/>
      <c r="BL1539" s="34">
        <v>725</v>
      </c>
      <c r="BW1539" s="34">
        <v>21</v>
      </c>
      <c r="BX1539" s="3" t="s">
        <v>2825</v>
      </c>
    </row>
    <row r="1540" spans="1:76" x14ac:dyDescent="0.25">
      <c r="A1540" s="66"/>
      <c r="D1540" s="67" t="s">
        <v>140</v>
      </c>
      <c r="E1540" s="67" t="s">
        <v>2826</v>
      </c>
      <c r="G1540" s="68">
        <v>2</v>
      </c>
      <c r="K1540" s="59"/>
    </row>
    <row r="1541" spans="1:76" x14ac:dyDescent="0.25">
      <c r="A1541" s="1" t="s">
        <v>2827</v>
      </c>
      <c r="B1541" s="2" t="s">
        <v>93</v>
      </c>
      <c r="C1541" s="2" t="s">
        <v>2828</v>
      </c>
      <c r="D1541" s="86" t="s">
        <v>2829</v>
      </c>
      <c r="E1541" s="81"/>
      <c r="F1541" s="2" t="s">
        <v>258</v>
      </c>
      <c r="G1541" s="34">
        <v>2</v>
      </c>
      <c r="H1541" s="64">
        <v>0</v>
      </c>
      <c r="I1541" s="34">
        <f>ROUND(G1541*H1541,2)</f>
        <v>0</v>
      </c>
      <c r="J1541" s="65" t="s">
        <v>133</v>
      </c>
      <c r="K1541" s="59"/>
      <c r="Z1541" s="34">
        <f>ROUND(IF(AQ1541="5",BJ1541,0),2)</f>
        <v>0</v>
      </c>
      <c r="AB1541" s="34">
        <f>ROUND(IF(AQ1541="1",BH1541,0),2)</f>
        <v>0</v>
      </c>
      <c r="AC1541" s="34">
        <f>ROUND(IF(AQ1541="1",BI1541,0),2)</f>
        <v>0</v>
      </c>
      <c r="AD1541" s="34">
        <f>ROUND(IF(AQ1541="7",BH1541,0),2)</f>
        <v>0</v>
      </c>
      <c r="AE1541" s="34">
        <f>ROUND(IF(AQ1541="7",BI1541,0),2)</f>
        <v>0</v>
      </c>
      <c r="AF1541" s="34">
        <f>ROUND(IF(AQ1541="2",BH1541,0),2)</f>
        <v>0</v>
      </c>
      <c r="AG1541" s="34">
        <f>ROUND(IF(AQ1541="2",BI1541,0),2)</f>
        <v>0</v>
      </c>
      <c r="AH1541" s="34">
        <f>ROUND(IF(AQ1541="0",BJ1541,0),2)</f>
        <v>0</v>
      </c>
      <c r="AI1541" s="46" t="s">
        <v>93</v>
      </c>
      <c r="AJ1541" s="34">
        <f>IF(AN1541=0,I1541,0)</f>
        <v>0</v>
      </c>
      <c r="AK1541" s="34">
        <f>IF(AN1541=12,I1541,0)</f>
        <v>0</v>
      </c>
      <c r="AL1541" s="34">
        <f>IF(AN1541=21,I1541,0)</f>
        <v>0</v>
      </c>
      <c r="AN1541" s="34">
        <v>21</v>
      </c>
      <c r="AO1541" s="34">
        <f>H1541*1</f>
        <v>0</v>
      </c>
      <c r="AP1541" s="34">
        <f>H1541*(1-1)</f>
        <v>0</v>
      </c>
      <c r="AQ1541" s="65" t="s">
        <v>175</v>
      </c>
      <c r="AV1541" s="34">
        <f>ROUND(AW1541+AX1541,2)</f>
        <v>0</v>
      </c>
      <c r="AW1541" s="34">
        <f>ROUND(G1541*AO1541,2)</f>
        <v>0</v>
      </c>
      <c r="AX1541" s="34">
        <f>ROUND(G1541*AP1541,2)</f>
        <v>0</v>
      </c>
      <c r="AY1541" s="65" t="s">
        <v>1073</v>
      </c>
      <c r="AZ1541" s="65" t="s">
        <v>2616</v>
      </c>
      <c r="BA1541" s="46" t="s">
        <v>2557</v>
      </c>
      <c r="BC1541" s="34">
        <f>AW1541+AX1541</f>
        <v>0</v>
      </c>
      <c r="BD1541" s="34">
        <f>H1541/(100-BE1541)*100</f>
        <v>0</v>
      </c>
      <c r="BE1541" s="34">
        <v>0</v>
      </c>
      <c r="BF1541" s="34">
        <f>1541</f>
        <v>1541</v>
      </c>
      <c r="BH1541" s="34">
        <f>G1541*AO1541</f>
        <v>0</v>
      </c>
      <c r="BI1541" s="34">
        <f>G1541*AP1541</f>
        <v>0</v>
      </c>
      <c r="BJ1541" s="34">
        <f>G1541*H1541</f>
        <v>0</v>
      </c>
      <c r="BK1541" s="34"/>
      <c r="BL1541" s="34">
        <v>725</v>
      </c>
      <c r="BW1541" s="34">
        <v>21</v>
      </c>
      <c r="BX1541" s="3" t="s">
        <v>2829</v>
      </c>
    </row>
    <row r="1542" spans="1:76" x14ac:dyDescent="0.25">
      <c r="A1542" s="66"/>
      <c r="D1542" s="67" t="s">
        <v>140</v>
      </c>
      <c r="E1542" s="67" t="s">
        <v>4</v>
      </c>
      <c r="G1542" s="68">
        <v>2</v>
      </c>
      <c r="K1542" s="59"/>
    </row>
    <row r="1543" spans="1:76" x14ac:dyDescent="0.25">
      <c r="A1543" s="1" t="s">
        <v>2830</v>
      </c>
      <c r="B1543" s="2" t="s">
        <v>93</v>
      </c>
      <c r="C1543" s="2" t="s">
        <v>2831</v>
      </c>
      <c r="D1543" s="86" t="s">
        <v>2832</v>
      </c>
      <c r="E1543" s="81"/>
      <c r="F1543" s="2" t="s">
        <v>1072</v>
      </c>
      <c r="G1543" s="34">
        <v>19</v>
      </c>
      <c r="H1543" s="64">
        <v>0</v>
      </c>
      <c r="I1543" s="34">
        <f>ROUND(G1543*H1543,2)</f>
        <v>0</v>
      </c>
      <c r="J1543" s="65" t="s">
        <v>133</v>
      </c>
      <c r="K1543" s="59"/>
      <c r="Z1543" s="34">
        <f>ROUND(IF(AQ1543="5",BJ1543,0),2)</f>
        <v>0</v>
      </c>
      <c r="AB1543" s="34">
        <f>ROUND(IF(AQ1543="1",BH1543,0),2)</f>
        <v>0</v>
      </c>
      <c r="AC1543" s="34">
        <f>ROUND(IF(AQ1543="1",BI1543,0),2)</f>
        <v>0</v>
      </c>
      <c r="AD1543" s="34">
        <f>ROUND(IF(AQ1543="7",BH1543,0),2)</f>
        <v>0</v>
      </c>
      <c r="AE1543" s="34">
        <f>ROUND(IF(AQ1543="7",BI1543,0),2)</f>
        <v>0</v>
      </c>
      <c r="AF1543" s="34">
        <f>ROUND(IF(AQ1543="2",BH1543,0),2)</f>
        <v>0</v>
      </c>
      <c r="AG1543" s="34">
        <f>ROUND(IF(AQ1543="2",BI1543,0),2)</f>
        <v>0</v>
      </c>
      <c r="AH1543" s="34">
        <f>ROUND(IF(AQ1543="0",BJ1543,0),2)</f>
        <v>0</v>
      </c>
      <c r="AI1543" s="46" t="s">
        <v>93</v>
      </c>
      <c r="AJ1543" s="34">
        <f>IF(AN1543=0,I1543,0)</f>
        <v>0</v>
      </c>
      <c r="AK1543" s="34">
        <f>IF(AN1543=12,I1543,0)</f>
        <v>0</v>
      </c>
      <c r="AL1543" s="34">
        <f>IF(AN1543=21,I1543,0)</f>
        <v>0</v>
      </c>
      <c r="AN1543" s="34">
        <v>21</v>
      </c>
      <c r="AO1543" s="34">
        <f>H1543*0.795454545</f>
        <v>0</v>
      </c>
      <c r="AP1543" s="34">
        <f>H1543*(1-0.795454545)</f>
        <v>0</v>
      </c>
      <c r="AQ1543" s="65" t="s">
        <v>175</v>
      </c>
      <c r="AV1543" s="34">
        <f>ROUND(AW1543+AX1543,2)</f>
        <v>0</v>
      </c>
      <c r="AW1543" s="34">
        <f>ROUND(G1543*AO1543,2)</f>
        <v>0</v>
      </c>
      <c r="AX1543" s="34">
        <f>ROUND(G1543*AP1543,2)</f>
        <v>0</v>
      </c>
      <c r="AY1543" s="65" t="s">
        <v>1073</v>
      </c>
      <c r="AZ1543" s="65" t="s">
        <v>2616</v>
      </c>
      <c r="BA1543" s="46" t="s">
        <v>2557</v>
      </c>
      <c r="BC1543" s="34">
        <f>AW1543+AX1543</f>
        <v>0</v>
      </c>
      <c r="BD1543" s="34">
        <f>H1543/(100-BE1543)*100</f>
        <v>0</v>
      </c>
      <c r="BE1543" s="34">
        <v>0</v>
      </c>
      <c r="BF1543" s="34">
        <f>1543</f>
        <v>1543</v>
      </c>
      <c r="BH1543" s="34">
        <f>G1543*AO1543</f>
        <v>0</v>
      </c>
      <c r="BI1543" s="34">
        <f>G1543*AP1543</f>
        <v>0</v>
      </c>
      <c r="BJ1543" s="34">
        <f>G1543*H1543</f>
        <v>0</v>
      </c>
      <c r="BK1543" s="34"/>
      <c r="BL1543" s="34">
        <v>725</v>
      </c>
      <c r="BW1543" s="34">
        <v>21</v>
      </c>
      <c r="BX1543" s="3" t="s">
        <v>2832</v>
      </c>
    </row>
    <row r="1544" spans="1:76" ht="13.5" customHeight="1" x14ac:dyDescent="0.25">
      <c r="A1544" s="66"/>
      <c r="C1544" s="69" t="s">
        <v>204</v>
      </c>
      <c r="D1544" s="169" t="s">
        <v>2833</v>
      </c>
      <c r="E1544" s="170"/>
      <c r="F1544" s="170"/>
      <c r="G1544" s="170"/>
      <c r="H1544" s="171"/>
      <c r="I1544" s="170"/>
      <c r="J1544" s="170"/>
      <c r="K1544" s="172"/>
    </row>
    <row r="1545" spans="1:76" x14ac:dyDescent="0.25">
      <c r="A1545" s="66"/>
      <c r="D1545" s="67" t="s">
        <v>137</v>
      </c>
      <c r="E1545" s="67" t="s">
        <v>2834</v>
      </c>
      <c r="G1545" s="68">
        <v>16</v>
      </c>
      <c r="K1545" s="59"/>
    </row>
    <row r="1546" spans="1:76" x14ac:dyDescent="0.25">
      <c r="A1546" s="66"/>
      <c r="D1546" s="67" t="s">
        <v>129</v>
      </c>
      <c r="E1546" s="67" t="s">
        <v>2834</v>
      </c>
      <c r="G1546" s="68">
        <v>1</v>
      </c>
      <c r="K1546" s="59"/>
    </row>
    <row r="1547" spans="1:76" x14ac:dyDescent="0.25">
      <c r="A1547" s="66"/>
      <c r="D1547" s="67" t="s">
        <v>140</v>
      </c>
      <c r="E1547" s="67" t="s">
        <v>2835</v>
      </c>
      <c r="G1547" s="68">
        <v>2</v>
      </c>
      <c r="K1547" s="59"/>
    </row>
    <row r="1548" spans="1:76" x14ac:dyDescent="0.25">
      <c r="A1548" s="1" t="s">
        <v>2836</v>
      </c>
      <c r="B1548" s="2" t="s">
        <v>93</v>
      </c>
      <c r="C1548" s="2" t="s">
        <v>2837</v>
      </c>
      <c r="D1548" s="86" t="s">
        <v>2838</v>
      </c>
      <c r="E1548" s="81"/>
      <c r="F1548" s="2" t="s">
        <v>1072</v>
      </c>
      <c r="G1548" s="34">
        <v>16</v>
      </c>
      <c r="H1548" s="64">
        <v>0</v>
      </c>
      <c r="I1548" s="34">
        <f>ROUND(G1548*H1548,2)</f>
        <v>0</v>
      </c>
      <c r="J1548" s="65" t="s">
        <v>133</v>
      </c>
      <c r="K1548" s="59"/>
      <c r="Z1548" s="34">
        <f>ROUND(IF(AQ1548="5",BJ1548,0),2)</f>
        <v>0</v>
      </c>
      <c r="AB1548" s="34">
        <f>ROUND(IF(AQ1548="1",BH1548,0),2)</f>
        <v>0</v>
      </c>
      <c r="AC1548" s="34">
        <f>ROUND(IF(AQ1548="1",BI1548,0),2)</f>
        <v>0</v>
      </c>
      <c r="AD1548" s="34">
        <f>ROUND(IF(AQ1548="7",BH1548,0),2)</f>
        <v>0</v>
      </c>
      <c r="AE1548" s="34">
        <f>ROUND(IF(AQ1548="7",BI1548,0),2)</f>
        <v>0</v>
      </c>
      <c r="AF1548" s="34">
        <f>ROUND(IF(AQ1548="2",BH1548,0),2)</f>
        <v>0</v>
      </c>
      <c r="AG1548" s="34">
        <f>ROUND(IF(AQ1548="2",BI1548,0),2)</f>
        <v>0</v>
      </c>
      <c r="AH1548" s="34">
        <f>ROUND(IF(AQ1548="0",BJ1548,0),2)</f>
        <v>0</v>
      </c>
      <c r="AI1548" s="46" t="s">
        <v>93</v>
      </c>
      <c r="AJ1548" s="34">
        <f>IF(AN1548=0,I1548,0)</f>
        <v>0</v>
      </c>
      <c r="AK1548" s="34">
        <f>IF(AN1548=12,I1548,0)</f>
        <v>0</v>
      </c>
      <c r="AL1548" s="34">
        <f>IF(AN1548=21,I1548,0)</f>
        <v>0</v>
      </c>
      <c r="AN1548" s="34">
        <v>21</v>
      </c>
      <c r="AO1548" s="34">
        <f>H1548*0.824507384</f>
        <v>0</v>
      </c>
      <c r="AP1548" s="34">
        <f>H1548*(1-0.824507384)</f>
        <v>0</v>
      </c>
      <c r="AQ1548" s="65" t="s">
        <v>175</v>
      </c>
      <c r="AV1548" s="34">
        <f>ROUND(AW1548+AX1548,2)</f>
        <v>0</v>
      </c>
      <c r="AW1548" s="34">
        <f>ROUND(G1548*AO1548,2)</f>
        <v>0</v>
      </c>
      <c r="AX1548" s="34">
        <f>ROUND(G1548*AP1548,2)</f>
        <v>0</v>
      </c>
      <c r="AY1548" s="65" t="s">
        <v>1073</v>
      </c>
      <c r="AZ1548" s="65" t="s">
        <v>2616</v>
      </c>
      <c r="BA1548" s="46" t="s">
        <v>2557</v>
      </c>
      <c r="BC1548" s="34">
        <f>AW1548+AX1548</f>
        <v>0</v>
      </c>
      <c r="BD1548" s="34">
        <f>H1548/(100-BE1548)*100</f>
        <v>0</v>
      </c>
      <c r="BE1548" s="34">
        <v>0</v>
      </c>
      <c r="BF1548" s="34">
        <f>1548</f>
        <v>1548</v>
      </c>
      <c r="BH1548" s="34">
        <f>G1548*AO1548</f>
        <v>0</v>
      </c>
      <c r="BI1548" s="34">
        <f>G1548*AP1548</f>
        <v>0</v>
      </c>
      <c r="BJ1548" s="34">
        <f>G1548*H1548</f>
        <v>0</v>
      </c>
      <c r="BK1548" s="34"/>
      <c r="BL1548" s="34">
        <v>725</v>
      </c>
      <c r="BW1548" s="34">
        <v>21</v>
      </c>
      <c r="BX1548" s="3" t="s">
        <v>2838</v>
      </c>
    </row>
    <row r="1549" spans="1:76" ht="13.5" customHeight="1" x14ac:dyDescent="0.25">
      <c r="A1549" s="66"/>
      <c r="C1549" s="69" t="s">
        <v>204</v>
      </c>
      <c r="D1549" s="169" t="s">
        <v>2839</v>
      </c>
      <c r="E1549" s="170"/>
      <c r="F1549" s="170"/>
      <c r="G1549" s="170"/>
      <c r="H1549" s="171"/>
      <c r="I1549" s="170"/>
      <c r="J1549" s="170"/>
      <c r="K1549" s="172"/>
    </row>
    <row r="1550" spans="1:76" x14ac:dyDescent="0.25">
      <c r="A1550" s="66"/>
      <c r="D1550" s="67" t="s">
        <v>137</v>
      </c>
      <c r="E1550" s="67" t="s">
        <v>4</v>
      </c>
      <c r="G1550" s="68">
        <v>16</v>
      </c>
      <c r="K1550" s="59"/>
    </row>
    <row r="1551" spans="1:76" x14ac:dyDescent="0.25">
      <c r="A1551" s="1" t="s">
        <v>2840</v>
      </c>
      <c r="B1551" s="2" t="s">
        <v>93</v>
      </c>
      <c r="C1551" s="2" t="s">
        <v>2841</v>
      </c>
      <c r="D1551" s="86" t="s">
        <v>2842</v>
      </c>
      <c r="E1551" s="81"/>
      <c r="F1551" s="2" t="s">
        <v>1072</v>
      </c>
      <c r="G1551" s="34">
        <v>16</v>
      </c>
      <c r="H1551" s="64">
        <v>0</v>
      </c>
      <c r="I1551" s="34">
        <f>ROUND(G1551*H1551,2)</f>
        <v>0</v>
      </c>
      <c r="J1551" s="65" t="s">
        <v>133</v>
      </c>
      <c r="K1551" s="59"/>
      <c r="Z1551" s="34">
        <f>ROUND(IF(AQ1551="5",BJ1551,0),2)</f>
        <v>0</v>
      </c>
      <c r="AB1551" s="34">
        <f>ROUND(IF(AQ1551="1",BH1551,0),2)</f>
        <v>0</v>
      </c>
      <c r="AC1551" s="34">
        <f>ROUND(IF(AQ1551="1",BI1551,0),2)</f>
        <v>0</v>
      </c>
      <c r="AD1551" s="34">
        <f>ROUND(IF(AQ1551="7",BH1551,0),2)</f>
        <v>0</v>
      </c>
      <c r="AE1551" s="34">
        <f>ROUND(IF(AQ1551="7",BI1551,0),2)</f>
        <v>0</v>
      </c>
      <c r="AF1551" s="34">
        <f>ROUND(IF(AQ1551="2",BH1551,0),2)</f>
        <v>0</v>
      </c>
      <c r="AG1551" s="34">
        <f>ROUND(IF(AQ1551="2",BI1551,0),2)</f>
        <v>0</v>
      </c>
      <c r="AH1551" s="34">
        <f>ROUND(IF(AQ1551="0",BJ1551,0),2)</f>
        <v>0</v>
      </c>
      <c r="AI1551" s="46" t="s">
        <v>93</v>
      </c>
      <c r="AJ1551" s="34">
        <f>IF(AN1551=0,I1551,0)</f>
        <v>0</v>
      </c>
      <c r="AK1551" s="34">
        <f>IF(AN1551=12,I1551,0)</f>
        <v>0</v>
      </c>
      <c r="AL1551" s="34">
        <f>IF(AN1551=21,I1551,0)</f>
        <v>0</v>
      </c>
      <c r="AN1551" s="34">
        <v>21</v>
      </c>
      <c r="AO1551" s="34">
        <f>H1551*0.756792453</f>
        <v>0</v>
      </c>
      <c r="AP1551" s="34">
        <f>H1551*(1-0.756792453)</f>
        <v>0</v>
      </c>
      <c r="AQ1551" s="65" t="s">
        <v>175</v>
      </c>
      <c r="AV1551" s="34">
        <f>ROUND(AW1551+AX1551,2)</f>
        <v>0</v>
      </c>
      <c r="AW1551" s="34">
        <f>ROUND(G1551*AO1551,2)</f>
        <v>0</v>
      </c>
      <c r="AX1551" s="34">
        <f>ROUND(G1551*AP1551,2)</f>
        <v>0</v>
      </c>
      <c r="AY1551" s="65" t="s">
        <v>1073</v>
      </c>
      <c r="AZ1551" s="65" t="s">
        <v>2616</v>
      </c>
      <c r="BA1551" s="46" t="s">
        <v>2557</v>
      </c>
      <c r="BC1551" s="34">
        <f>AW1551+AX1551</f>
        <v>0</v>
      </c>
      <c r="BD1551" s="34">
        <f>H1551/(100-BE1551)*100</f>
        <v>0</v>
      </c>
      <c r="BE1551" s="34">
        <v>0</v>
      </c>
      <c r="BF1551" s="34">
        <f>1551</f>
        <v>1551</v>
      </c>
      <c r="BH1551" s="34">
        <f>G1551*AO1551</f>
        <v>0</v>
      </c>
      <c r="BI1551" s="34">
        <f>G1551*AP1551</f>
        <v>0</v>
      </c>
      <c r="BJ1551" s="34">
        <f>G1551*H1551</f>
        <v>0</v>
      </c>
      <c r="BK1551" s="34"/>
      <c r="BL1551" s="34">
        <v>725</v>
      </c>
      <c r="BW1551" s="34">
        <v>21</v>
      </c>
      <c r="BX1551" s="3" t="s">
        <v>2842</v>
      </c>
    </row>
    <row r="1552" spans="1:76" x14ac:dyDescent="0.25">
      <c r="A1552" s="66"/>
      <c r="D1552" s="67" t="s">
        <v>137</v>
      </c>
      <c r="E1552" s="67" t="s">
        <v>4</v>
      </c>
      <c r="G1552" s="68">
        <v>16</v>
      </c>
      <c r="K1552" s="59"/>
    </row>
    <row r="1553" spans="1:76" x14ac:dyDescent="0.25">
      <c r="A1553" s="1" t="s">
        <v>2843</v>
      </c>
      <c r="B1553" s="2" t="s">
        <v>93</v>
      </c>
      <c r="C1553" s="2" t="s">
        <v>2844</v>
      </c>
      <c r="D1553" s="86" t="s">
        <v>2845</v>
      </c>
      <c r="E1553" s="81"/>
      <c r="F1553" s="2" t="s">
        <v>1072</v>
      </c>
      <c r="G1553" s="34">
        <v>8</v>
      </c>
      <c r="H1553" s="64">
        <v>0</v>
      </c>
      <c r="I1553" s="34">
        <f>ROUND(G1553*H1553,2)</f>
        <v>0</v>
      </c>
      <c r="J1553" s="65" t="s">
        <v>133</v>
      </c>
      <c r="K1553" s="59"/>
      <c r="Z1553" s="34">
        <f>ROUND(IF(AQ1553="5",BJ1553,0),2)</f>
        <v>0</v>
      </c>
      <c r="AB1553" s="34">
        <f>ROUND(IF(AQ1553="1",BH1553,0),2)</f>
        <v>0</v>
      </c>
      <c r="AC1553" s="34">
        <f>ROUND(IF(AQ1553="1",BI1553,0),2)</f>
        <v>0</v>
      </c>
      <c r="AD1553" s="34">
        <f>ROUND(IF(AQ1553="7",BH1553,0),2)</f>
        <v>0</v>
      </c>
      <c r="AE1553" s="34">
        <f>ROUND(IF(AQ1553="7",BI1553,0),2)</f>
        <v>0</v>
      </c>
      <c r="AF1553" s="34">
        <f>ROUND(IF(AQ1553="2",BH1553,0),2)</f>
        <v>0</v>
      </c>
      <c r="AG1553" s="34">
        <f>ROUND(IF(AQ1553="2",BI1553,0),2)</f>
        <v>0</v>
      </c>
      <c r="AH1553" s="34">
        <f>ROUND(IF(AQ1553="0",BJ1553,0),2)</f>
        <v>0</v>
      </c>
      <c r="AI1553" s="46" t="s">
        <v>93</v>
      </c>
      <c r="AJ1553" s="34">
        <f>IF(AN1553=0,I1553,0)</f>
        <v>0</v>
      </c>
      <c r="AK1553" s="34">
        <f>IF(AN1553=12,I1553,0)</f>
        <v>0</v>
      </c>
      <c r="AL1553" s="34">
        <f>IF(AN1553=21,I1553,0)</f>
        <v>0</v>
      </c>
      <c r="AN1553" s="34">
        <v>21</v>
      </c>
      <c r="AO1553" s="34">
        <f>H1553*0.97496</f>
        <v>0</v>
      </c>
      <c r="AP1553" s="34">
        <f>H1553*(1-0.97496)</f>
        <v>0</v>
      </c>
      <c r="AQ1553" s="65" t="s">
        <v>175</v>
      </c>
      <c r="AV1553" s="34">
        <f>ROUND(AW1553+AX1553,2)</f>
        <v>0</v>
      </c>
      <c r="AW1553" s="34">
        <f>ROUND(G1553*AO1553,2)</f>
        <v>0</v>
      </c>
      <c r="AX1553" s="34">
        <f>ROUND(G1553*AP1553,2)</f>
        <v>0</v>
      </c>
      <c r="AY1553" s="65" t="s">
        <v>1073</v>
      </c>
      <c r="AZ1553" s="65" t="s">
        <v>2616</v>
      </c>
      <c r="BA1553" s="46" t="s">
        <v>2557</v>
      </c>
      <c r="BC1553" s="34">
        <f>AW1553+AX1553</f>
        <v>0</v>
      </c>
      <c r="BD1553" s="34">
        <f>H1553/(100-BE1553)*100</f>
        <v>0</v>
      </c>
      <c r="BE1553" s="34">
        <v>0</v>
      </c>
      <c r="BF1553" s="34">
        <f>1553</f>
        <v>1553</v>
      </c>
      <c r="BH1553" s="34">
        <f>G1553*AO1553</f>
        <v>0</v>
      </c>
      <c r="BI1553" s="34">
        <f>G1553*AP1553</f>
        <v>0</v>
      </c>
      <c r="BJ1553" s="34">
        <f>G1553*H1553</f>
        <v>0</v>
      </c>
      <c r="BK1553" s="34"/>
      <c r="BL1553" s="34">
        <v>725</v>
      </c>
      <c r="BW1553" s="34">
        <v>21</v>
      </c>
      <c r="BX1553" s="3" t="s">
        <v>2845</v>
      </c>
    </row>
    <row r="1554" spans="1:76" x14ac:dyDescent="0.25">
      <c r="A1554" s="66"/>
      <c r="D1554" s="67" t="s">
        <v>182</v>
      </c>
      <c r="E1554" s="67" t="s">
        <v>2846</v>
      </c>
      <c r="G1554" s="68">
        <v>8</v>
      </c>
      <c r="K1554" s="59"/>
    </row>
    <row r="1555" spans="1:76" x14ac:dyDescent="0.25">
      <c r="A1555" s="1" t="s">
        <v>2847</v>
      </c>
      <c r="B1555" s="2" t="s">
        <v>93</v>
      </c>
      <c r="C1555" s="2" t="s">
        <v>2848</v>
      </c>
      <c r="D1555" s="86" t="s">
        <v>2849</v>
      </c>
      <c r="E1555" s="81"/>
      <c r="F1555" s="2" t="s">
        <v>258</v>
      </c>
      <c r="G1555" s="34">
        <v>2</v>
      </c>
      <c r="H1555" s="64">
        <v>0</v>
      </c>
      <c r="I1555" s="34">
        <f>ROUND(G1555*H1555,2)</f>
        <v>0</v>
      </c>
      <c r="J1555" s="65" t="s">
        <v>133</v>
      </c>
      <c r="K1555" s="59"/>
      <c r="Z1555" s="34">
        <f>ROUND(IF(AQ1555="5",BJ1555,0),2)</f>
        <v>0</v>
      </c>
      <c r="AB1555" s="34">
        <f>ROUND(IF(AQ1555="1",BH1555,0),2)</f>
        <v>0</v>
      </c>
      <c r="AC1555" s="34">
        <f>ROUND(IF(AQ1555="1",BI1555,0),2)</f>
        <v>0</v>
      </c>
      <c r="AD1555" s="34">
        <f>ROUND(IF(AQ1555="7",BH1555,0),2)</f>
        <v>0</v>
      </c>
      <c r="AE1555" s="34">
        <f>ROUND(IF(AQ1555="7",BI1555,0),2)</f>
        <v>0</v>
      </c>
      <c r="AF1555" s="34">
        <f>ROUND(IF(AQ1555="2",BH1555,0),2)</f>
        <v>0</v>
      </c>
      <c r="AG1555" s="34">
        <f>ROUND(IF(AQ1555="2",BI1555,0),2)</f>
        <v>0</v>
      </c>
      <c r="AH1555" s="34">
        <f>ROUND(IF(AQ1555="0",BJ1555,0),2)</f>
        <v>0</v>
      </c>
      <c r="AI1555" s="46" t="s">
        <v>93</v>
      </c>
      <c r="AJ1555" s="34">
        <f>IF(AN1555=0,I1555,0)</f>
        <v>0</v>
      </c>
      <c r="AK1555" s="34">
        <f>IF(AN1555=12,I1555,0)</f>
        <v>0</v>
      </c>
      <c r="AL1555" s="34">
        <f>IF(AN1555=21,I1555,0)</f>
        <v>0</v>
      </c>
      <c r="AN1555" s="34">
        <v>21</v>
      </c>
      <c r="AO1555" s="34">
        <f>H1555*0.810432068</f>
        <v>0</v>
      </c>
      <c r="AP1555" s="34">
        <f>H1555*(1-0.810432068)</f>
        <v>0</v>
      </c>
      <c r="AQ1555" s="65" t="s">
        <v>175</v>
      </c>
      <c r="AV1555" s="34">
        <f>ROUND(AW1555+AX1555,2)</f>
        <v>0</v>
      </c>
      <c r="AW1555" s="34">
        <f>ROUND(G1555*AO1555,2)</f>
        <v>0</v>
      </c>
      <c r="AX1555" s="34">
        <f>ROUND(G1555*AP1555,2)</f>
        <v>0</v>
      </c>
      <c r="AY1555" s="65" t="s">
        <v>1073</v>
      </c>
      <c r="AZ1555" s="65" t="s">
        <v>2616</v>
      </c>
      <c r="BA1555" s="46" t="s">
        <v>2557</v>
      </c>
      <c r="BC1555" s="34">
        <f>AW1555+AX1555</f>
        <v>0</v>
      </c>
      <c r="BD1555" s="34">
        <f>H1555/(100-BE1555)*100</f>
        <v>0</v>
      </c>
      <c r="BE1555" s="34">
        <v>0</v>
      </c>
      <c r="BF1555" s="34">
        <f>1555</f>
        <v>1555</v>
      </c>
      <c r="BH1555" s="34">
        <f>G1555*AO1555</f>
        <v>0</v>
      </c>
      <c r="BI1555" s="34">
        <f>G1555*AP1555</f>
        <v>0</v>
      </c>
      <c r="BJ1555" s="34">
        <f>G1555*H1555</f>
        <v>0</v>
      </c>
      <c r="BK1555" s="34"/>
      <c r="BL1555" s="34">
        <v>725</v>
      </c>
      <c r="BW1555" s="34">
        <v>21</v>
      </c>
      <c r="BX1555" s="3" t="s">
        <v>2849</v>
      </c>
    </row>
    <row r="1556" spans="1:76" x14ac:dyDescent="0.25">
      <c r="A1556" s="66"/>
      <c r="D1556" s="67" t="s">
        <v>140</v>
      </c>
      <c r="E1556" s="67" t="s">
        <v>4</v>
      </c>
      <c r="G1556" s="68">
        <v>2</v>
      </c>
      <c r="K1556" s="59"/>
    </row>
    <row r="1557" spans="1:76" x14ac:dyDescent="0.25">
      <c r="A1557" s="1" t="s">
        <v>2850</v>
      </c>
      <c r="B1557" s="2" t="s">
        <v>93</v>
      </c>
      <c r="C1557" s="2" t="s">
        <v>2851</v>
      </c>
      <c r="D1557" s="86" t="s">
        <v>2852</v>
      </c>
      <c r="E1557" s="81"/>
      <c r="F1557" s="2" t="s">
        <v>258</v>
      </c>
      <c r="G1557" s="34">
        <v>8</v>
      </c>
      <c r="H1557" s="64">
        <v>0</v>
      </c>
      <c r="I1557" s="34">
        <f>ROUND(G1557*H1557,2)</f>
        <v>0</v>
      </c>
      <c r="J1557" s="65" t="s">
        <v>133</v>
      </c>
      <c r="K1557" s="59"/>
      <c r="Z1557" s="34">
        <f>ROUND(IF(AQ1557="5",BJ1557,0),2)</f>
        <v>0</v>
      </c>
      <c r="AB1557" s="34">
        <f>ROUND(IF(AQ1557="1",BH1557,0),2)</f>
        <v>0</v>
      </c>
      <c r="AC1557" s="34">
        <f>ROUND(IF(AQ1557="1",BI1557,0),2)</f>
        <v>0</v>
      </c>
      <c r="AD1557" s="34">
        <f>ROUND(IF(AQ1557="7",BH1557,0),2)</f>
        <v>0</v>
      </c>
      <c r="AE1557" s="34">
        <f>ROUND(IF(AQ1557="7",BI1557,0),2)</f>
        <v>0</v>
      </c>
      <c r="AF1557" s="34">
        <f>ROUND(IF(AQ1557="2",BH1557,0),2)</f>
        <v>0</v>
      </c>
      <c r="AG1557" s="34">
        <f>ROUND(IF(AQ1557="2",BI1557,0),2)</f>
        <v>0</v>
      </c>
      <c r="AH1557" s="34">
        <f>ROUND(IF(AQ1557="0",BJ1557,0),2)</f>
        <v>0</v>
      </c>
      <c r="AI1557" s="46" t="s">
        <v>93</v>
      </c>
      <c r="AJ1557" s="34">
        <f>IF(AN1557=0,I1557,0)</f>
        <v>0</v>
      </c>
      <c r="AK1557" s="34">
        <f>IF(AN1557=12,I1557,0)</f>
        <v>0</v>
      </c>
      <c r="AL1557" s="34">
        <f>IF(AN1557=21,I1557,0)</f>
        <v>0</v>
      </c>
      <c r="AN1557" s="34">
        <v>21</v>
      </c>
      <c r="AO1557" s="34">
        <f>H1557*0.942579892</f>
        <v>0</v>
      </c>
      <c r="AP1557" s="34">
        <f>H1557*(1-0.942579892)</f>
        <v>0</v>
      </c>
      <c r="AQ1557" s="65" t="s">
        <v>175</v>
      </c>
      <c r="AV1557" s="34">
        <f>ROUND(AW1557+AX1557,2)</f>
        <v>0</v>
      </c>
      <c r="AW1557" s="34">
        <f>ROUND(G1557*AO1557,2)</f>
        <v>0</v>
      </c>
      <c r="AX1557" s="34">
        <f>ROUND(G1557*AP1557,2)</f>
        <v>0</v>
      </c>
      <c r="AY1557" s="65" t="s">
        <v>1073</v>
      </c>
      <c r="AZ1557" s="65" t="s">
        <v>2616</v>
      </c>
      <c r="BA1557" s="46" t="s">
        <v>2557</v>
      </c>
      <c r="BC1557" s="34">
        <f>AW1557+AX1557</f>
        <v>0</v>
      </c>
      <c r="BD1557" s="34">
        <f>H1557/(100-BE1557)*100</f>
        <v>0</v>
      </c>
      <c r="BE1557" s="34">
        <v>0</v>
      </c>
      <c r="BF1557" s="34">
        <f>1557</f>
        <v>1557</v>
      </c>
      <c r="BH1557" s="34">
        <f>G1557*AO1557</f>
        <v>0</v>
      </c>
      <c r="BI1557" s="34">
        <f>G1557*AP1557</f>
        <v>0</v>
      </c>
      <c r="BJ1557" s="34">
        <f>G1557*H1557</f>
        <v>0</v>
      </c>
      <c r="BK1557" s="34"/>
      <c r="BL1557" s="34">
        <v>725</v>
      </c>
      <c r="BW1557" s="34">
        <v>21</v>
      </c>
      <c r="BX1557" s="3" t="s">
        <v>2852</v>
      </c>
    </row>
    <row r="1558" spans="1:76" x14ac:dyDescent="0.25">
      <c r="A1558" s="66"/>
      <c r="D1558" s="67" t="s">
        <v>182</v>
      </c>
      <c r="E1558" s="67" t="s">
        <v>4</v>
      </c>
      <c r="G1558" s="68">
        <v>8</v>
      </c>
      <c r="K1558" s="59"/>
    </row>
    <row r="1559" spans="1:76" x14ac:dyDescent="0.25">
      <c r="A1559" s="1" t="s">
        <v>2853</v>
      </c>
      <c r="B1559" s="2" t="s">
        <v>93</v>
      </c>
      <c r="C1559" s="2" t="s">
        <v>2854</v>
      </c>
      <c r="D1559" s="86" t="s">
        <v>2855</v>
      </c>
      <c r="E1559" s="81"/>
      <c r="F1559" s="2" t="s">
        <v>258</v>
      </c>
      <c r="G1559" s="34">
        <v>2</v>
      </c>
      <c r="H1559" s="64">
        <v>0</v>
      </c>
      <c r="I1559" s="34">
        <f>ROUND(G1559*H1559,2)</f>
        <v>0</v>
      </c>
      <c r="J1559" s="65" t="s">
        <v>133</v>
      </c>
      <c r="K1559" s="59"/>
      <c r="Z1559" s="34">
        <f>ROUND(IF(AQ1559="5",BJ1559,0),2)</f>
        <v>0</v>
      </c>
      <c r="AB1559" s="34">
        <f>ROUND(IF(AQ1559="1",BH1559,0),2)</f>
        <v>0</v>
      </c>
      <c r="AC1559" s="34">
        <f>ROUND(IF(AQ1559="1",BI1559,0),2)</f>
        <v>0</v>
      </c>
      <c r="AD1559" s="34">
        <f>ROUND(IF(AQ1559="7",BH1559,0),2)</f>
        <v>0</v>
      </c>
      <c r="AE1559" s="34">
        <f>ROUND(IF(AQ1559="7",BI1559,0),2)</f>
        <v>0</v>
      </c>
      <c r="AF1559" s="34">
        <f>ROUND(IF(AQ1559="2",BH1559,0),2)</f>
        <v>0</v>
      </c>
      <c r="AG1559" s="34">
        <f>ROUND(IF(AQ1559="2",BI1559,0),2)</f>
        <v>0</v>
      </c>
      <c r="AH1559" s="34">
        <f>ROUND(IF(AQ1559="0",BJ1559,0),2)</f>
        <v>0</v>
      </c>
      <c r="AI1559" s="46" t="s">
        <v>93</v>
      </c>
      <c r="AJ1559" s="34">
        <f>IF(AN1559=0,I1559,0)</f>
        <v>0</v>
      </c>
      <c r="AK1559" s="34">
        <f>IF(AN1559=12,I1559,0)</f>
        <v>0</v>
      </c>
      <c r="AL1559" s="34">
        <f>IF(AN1559=21,I1559,0)</f>
        <v>0</v>
      </c>
      <c r="AN1559" s="34">
        <v>21</v>
      </c>
      <c r="AO1559" s="34">
        <f>H1559*1</f>
        <v>0</v>
      </c>
      <c r="AP1559" s="34">
        <f>H1559*(1-1)</f>
        <v>0</v>
      </c>
      <c r="AQ1559" s="65" t="s">
        <v>175</v>
      </c>
      <c r="AV1559" s="34">
        <f>ROUND(AW1559+AX1559,2)</f>
        <v>0</v>
      </c>
      <c r="AW1559" s="34">
        <f>ROUND(G1559*AO1559,2)</f>
        <v>0</v>
      </c>
      <c r="AX1559" s="34">
        <f>ROUND(G1559*AP1559,2)</f>
        <v>0</v>
      </c>
      <c r="AY1559" s="65" t="s">
        <v>1073</v>
      </c>
      <c r="AZ1559" s="65" t="s">
        <v>2616</v>
      </c>
      <c r="BA1559" s="46" t="s">
        <v>2557</v>
      </c>
      <c r="BC1559" s="34">
        <f>AW1559+AX1559</f>
        <v>0</v>
      </c>
      <c r="BD1559" s="34">
        <f>H1559/(100-BE1559)*100</f>
        <v>0</v>
      </c>
      <c r="BE1559" s="34">
        <v>0</v>
      </c>
      <c r="BF1559" s="34">
        <f>1559</f>
        <v>1559</v>
      </c>
      <c r="BH1559" s="34">
        <f>G1559*AO1559</f>
        <v>0</v>
      </c>
      <c r="BI1559" s="34">
        <f>G1559*AP1559</f>
        <v>0</v>
      </c>
      <c r="BJ1559" s="34">
        <f>G1559*H1559</f>
        <v>0</v>
      </c>
      <c r="BK1559" s="34"/>
      <c r="BL1559" s="34">
        <v>725</v>
      </c>
      <c r="BW1559" s="34">
        <v>21</v>
      </c>
      <c r="BX1559" s="3" t="s">
        <v>2855</v>
      </c>
    </row>
    <row r="1560" spans="1:76" x14ac:dyDescent="0.25">
      <c r="A1560" s="66"/>
      <c r="D1560" s="67" t="s">
        <v>140</v>
      </c>
      <c r="E1560" s="67" t="s">
        <v>4</v>
      </c>
      <c r="G1560" s="68">
        <v>2</v>
      </c>
      <c r="K1560" s="59"/>
    </row>
    <row r="1561" spans="1:76" x14ac:dyDescent="0.25">
      <c r="A1561" s="1" t="s">
        <v>2856</v>
      </c>
      <c r="B1561" s="2" t="s">
        <v>93</v>
      </c>
      <c r="C1561" s="2" t="s">
        <v>2857</v>
      </c>
      <c r="D1561" s="86" t="s">
        <v>2858</v>
      </c>
      <c r="E1561" s="81"/>
      <c r="F1561" s="2" t="s">
        <v>258</v>
      </c>
      <c r="G1561" s="34">
        <v>1</v>
      </c>
      <c r="H1561" s="64">
        <v>0</v>
      </c>
      <c r="I1561" s="34">
        <f>ROUND(G1561*H1561,2)</f>
        <v>0</v>
      </c>
      <c r="J1561" s="65" t="s">
        <v>133</v>
      </c>
      <c r="K1561" s="59"/>
      <c r="Z1561" s="34">
        <f>ROUND(IF(AQ1561="5",BJ1561,0),2)</f>
        <v>0</v>
      </c>
      <c r="AB1561" s="34">
        <f>ROUND(IF(AQ1561="1",BH1561,0),2)</f>
        <v>0</v>
      </c>
      <c r="AC1561" s="34">
        <f>ROUND(IF(AQ1561="1",BI1561,0),2)</f>
        <v>0</v>
      </c>
      <c r="AD1561" s="34">
        <f>ROUND(IF(AQ1561="7",BH1561,0),2)</f>
        <v>0</v>
      </c>
      <c r="AE1561" s="34">
        <f>ROUND(IF(AQ1561="7",BI1561,0),2)</f>
        <v>0</v>
      </c>
      <c r="AF1561" s="34">
        <f>ROUND(IF(AQ1561="2",BH1561,0),2)</f>
        <v>0</v>
      </c>
      <c r="AG1561" s="34">
        <f>ROUND(IF(AQ1561="2",BI1561,0),2)</f>
        <v>0</v>
      </c>
      <c r="AH1561" s="34">
        <f>ROUND(IF(AQ1561="0",BJ1561,0),2)</f>
        <v>0</v>
      </c>
      <c r="AI1561" s="46" t="s">
        <v>93</v>
      </c>
      <c r="AJ1561" s="34">
        <f>IF(AN1561=0,I1561,0)</f>
        <v>0</v>
      </c>
      <c r="AK1561" s="34">
        <f>IF(AN1561=12,I1561,0)</f>
        <v>0</v>
      </c>
      <c r="AL1561" s="34">
        <f>IF(AN1561=21,I1561,0)</f>
        <v>0</v>
      </c>
      <c r="AN1561" s="34">
        <v>21</v>
      </c>
      <c r="AO1561" s="34">
        <f>H1561*0.88350697</f>
        <v>0</v>
      </c>
      <c r="AP1561" s="34">
        <f>H1561*(1-0.88350697)</f>
        <v>0</v>
      </c>
      <c r="AQ1561" s="65" t="s">
        <v>175</v>
      </c>
      <c r="AV1561" s="34">
        <f>ROUND(AW1561+AX1561,2)</f>
        <v>0</v>
      </c>
      <c r="AW1561" s="34">
        <f>ROUND(G1561*AO1561,2)</f>
        <v>0</v>
      </c>
      <c r="AX1561" s="34">
        <f>ROUND(G1561*AP1561,2)</f>
        <v>0</v>
      </c>
      <c r="AY1561" s="65" t="s">
        <v>1073</v>
      </c>
      <c r="AZ1561" s="65" t="s">
        <v>2616</v>
      </c>
      <c r="BA1561" s="46" t="s">
        <v>2557</v>
      </c>
      <c r="BC1561" s="34">
        <f>AW1561+AX1561</f>
        <v>0</v>
      </c>
      <c r="BD1561" s="34">
        <f>H1561/(100-BE1561)*100</f>
        <v>0</v>
      </c>
      <c r="BE1561" s="34">
        <v>0</v>
      </c>
      <c r="BF1561" s="34">
        <f>1561</f>
        <v>1561</v>
      </c>
      <c r="BH1561" s="34">
        <f>G1561*AO1561</f>
        <v>0</v>
      </c>
      <c r="BI1561" s="34">
        <f>G1561*AP1561</f>
        <v>0</v>
      </c>
      <c r="BJ1561" s="34">
        <f>G1561*H1561</f>
        <v>0</v>
      </c>
      <c r="BK1561" s="34"/>
      <c r="BL1561" s="34">
        <v>725</v>
      </c>
      <c r="BW1561" s="34">
        <v>21</v>
      </c>
      <c r="BX1561" s="3" t="s">
        <v>2858</v>
      </c>
    </row>
    <row r="1562" spans="1:76" x14ac:dyDescent="0.25">
      <c r="A1562" s="66"/>
      <c r="D1562" s="67" t="s">
        <v>129</v>
      </c>
      <c r="E1562" s="67" t="s">
        <v>4</v>
      </c>
      <c r="G1562" s="68">
        <v>1</v>
      </c>
      <c r="K1562" s="59"/>
    </row>
    <row r="1563" spans="1:76" x14ac:dyDescent="0.25">
      <c r="A1563" s="1" t="s">
        <v>2859</v>
      </c>
      <c r="B1563" s="2" t="s">
        <v>93</v>
      </c>
      <c r="C1563" s="2" t="s">
        <v>2860</v>
      </c>
      <c r="D1563" s="86" t="s">
        <v>2861</v>
      </c>
      <c r="E1563" s="81"/>
      <c r="F1563" s="2" t="s">
        <v>1072</v>
      </c>
      <c r="G1563" s="34">
        <v>1</v>
      </c>
      <c r="H1563" s="64">
        <v>0</v>
      </c>
      <c r="I1563" s="34">
        <f>ROUND(G1563*H1563,2)</f>
        <v>0</v>
      </c>
      <c r="J1563" s="65" t="s">
        <v>133</v>
      </c>
      <c r="K1563" s="59"/>
      <c r="Z1563" s="34">
        <f>ROUND(IF(AQ1563="5",BJ1563,0),2)</f>
        <v>0</v>
      </c>
      <c r="AB1563" s="34">
        <f>ROUND(IF(AQ1563="1",BH1563,0),2)</f>
        <v>0</v>
      </c>
      <c r="AC1563" s="34">
        <f>ROUND(IF(AQ1563="1",BI1563,0),2)</f>
        <v>0</v>
      </c>
      <c r="AD1563" s="34">
        <f>ROUND(IF(AQ1563="7",BH1563,0),2)</f>
        <v>0</v>
      </c>
      <c r="AE1563" s="34">
        <f>ROUND(IF(AQ1563="7",BI1563,0),2)</f>
        <v>0</v>
      </c>
      <c r="AF1563" s="34">
        <f>ROUND(IF(AQ1563="2",BH1563,0),2)</f>
        <v>0</v>
      </c>
      <c r="AG1563" s="34">
        <f>ROUND(IF(AQ1563="2",BI1563,0),2)</f>
        <v>0</v>
      </c>
      <c r="AH1563" s="34">
        <f>ROUND(IF(AQ1563="0",BJ1563,0),2)</f>
        <v>0</v>
      </c>
      <c r="AI1563" s="46" t="s">
        <v>93</v>
      </c>
      <c r="AJ1563" s="34">
        <f>IF(AN1563=0,I1563,0)</f>
        <v>0</v>
      </c>
      <c r="AK1563" s="34">
        <f>IF(AN1563=12,I1563,0)</f>
        <v>0</v>
      </c>
      <c r="AL1563" s="34">
        <f>IF(AN1563=21,I1563,0)</f>
        <v>0</v>
      </c>
      <c r="AN1563" s="34">
        <v>21</v>
      </c>
      <c r="AO1563" s="34">
        <f>H1563*0.890651014</f>
        <v>0</v>
      </c>
      <c r="AP1563" s="34">
        <f>H1563*(1-0.890651014)</f>
        <v>0</v>
      </c>
      <c r="AQ1563" s="65" t="s">
        <v>175</v>
      </c>
      <c r="AV1563" s="34">
        <f>ROUND(AW1563+AX1563,2)</f>
        <v>0</v>
      </c>
      <c r="AW1563" s="34">
        <f>ROUND(G1563*AO1563,2)</f>
        <v>0</v>
      </c>
      <c r="AX1563" s="34">
        <f>ROUND(G1563*AP1563,2)</f>
        <v>0</v>
      </c>
      <c r="AY1563" s="65" t="s">
        <v>1073</v>
      </c>
      <c r="AZ1563" s="65" t="s">
        <v>2616</v>
      </c>
      <c r="BA1563" s="46" t="s">
        <v>2557</v>
      </c>
      <c r="BC1563" s="34">
        <f>AW1563+AX1563</f>
        <v>0</v>
      </c>
      <c r="BD1563" s="34">
        <f>H1563/(100-BE1563)*100</f>
        <v>0</v>
      </c>
      <c r="BE1563" s="34">
        <v>0</v>
      </c>
      <c r="BF1563" s="34">
        <f>1563</f>
        <v>1563</v>
      </c>
      <c r="BH1563" s="34">
        <f>G1563*AO1563</f>
        <v>0</v>
      </c>
      <c r="BI1563" s="34">
        <f>G1563*AP1563</f>
        <v>0</v>
      </c>
      <c r="BJ1563" s="34">
        <f>G1563*H1563</f>
        <v>0</v>
      </c>
      <c r="BK1563" s="34"/>
      <c r="BL1563" s="34">
        <v>725</v>
      </c>
      <c r="BW1563" s="34">
        <v>21</v>
      </c>
      <c r="BX1563" s="3" t="s">
        <v>2861</v>
      </c>
    </row>
    <row r="1564" spans="1:76" x14ac:dyDescent="0.25">
      <c r="A1564" s="66"/>
      <c r="D1564" s="67" t="s">
        <v>129</v>
      </c>
      <c r="E1564" s="67" t="s">
        <v>4</v>
      </c>
      <c r="G1564" s="68">
        <v>1</v>
      </c>
      <c r="K1564" s="59"/>
    </row>
    <row r="1565" spans="1:76" x14ac:dyDescent="0.25">
      <c r="A1565" s="1" t="s">
        <v>2862</v>
      </c>
      <c r="B1565" s="2" t="s">
        <v>93</v>
      </c>
      <c r="C1565" s="2" t="s">
        <v>2863</v>
      </c>
      <c r="D1565" s="86" t="s">
        <v>2864</v>
      </c>
      <c r="E1565" s="81"/>
      <c r="F1565" s="2" t="s">
        <v>1072</v>
      </c>
      <c r="G1565" s="34">
        <v>1</v>
      </c>
      <c r="H1565" s="64">
        <v>0</v>
      </c>
      <c r="I1565" s="34">
        <f>ROUND(G1565*H1565,2)</f>
        <v>0</v>
      </c>
      <c r="J1565" s="65" t="s">
        <v>133</v>
      </c>
      <c r="K1565" s="59"/>
      <c r="Z1565" s="34">
        <f>ROUND(IF(AQ1565="5",BJ1565,0),2)</f>
        <v>0</v>
      </c>
      <c r="AB1565" s="34">
        <f>ROUND(IF(AQ1565="1",BH1565,0),2)</f>
        <v>0</v>
      </c>
      <c r="AC1565" s="34">
        <f>ROUND(IF(AQ1565="1",BI1565,0),2)</f>
        <v>0</v>
      </c>
      <c r="AD1565" s="34">
        <f>ROUND(IF(AQ1565="7",BH1565,0),2)</f>
        <v>0</v>
      </c>
      <c r="AE1565" s="34">
        <f>ROUND(IF(AQ1565="7",BI1565,0),2)</f>
        <v>0</v>
      </c>
      <c r="AF1565" s="34">
        <f>ROUND(IF(AQ1565="2",BH1565,0),2)</f>
        <v>0</v>
      </c>
      <c r="AG1565" s="34">
        <f>ROUND(IF(AQ1565="2",BI1565,0),2)</f>
        <v>0</v>
      </c>
      <c r="AH1565" s="34">
        <f>ROUND(IF(AQ1565="0",BJ1565,0),2)</f>
        <v>0</v>
      </c>
      <c r="AI1565" s="46" t="s">
        <v>93</v>
      </c>
      <c r="AJ1565" s="34">
        <f>IF(AN1565=0,I1565,0)</f>
        <v>0</v>
      </c>
      <c r="AK1565" s="34">
        <f>IF(AN1565=12,I1565,0)</f>
        <v>0</v>
      </c>
      <c r="AL1565" s="34">
        <f>IF(AN1565=21,I1565,0)</f>
        <v>0</v>
      </c>
      <c r="AN1565" s="34">
        <v>21</v>
      </c>
      <c r="AO1565" s="34">
        <f>H1565*0.873828094</f>
        <v>0</v>
      </c>
      <c r="AP1565" s="34">
        <f>H1565*(1-0.873828094)</f>
        <v>0</v>
      </c>
      <c r="AQ1565" s="65" t="s">
        <v>175</v>
      </c>
      <c r="AV1565" s="34">
        <f>ROUND(AW1565+AX1565,2)</f>
        <v>0</v>
      </c>
      <c r="AW1565" s="34">
        <f>ROUND(G1565*AO1565,2)</f>
        <v>0</v>
      </c>
      <c r="AX1565" s="34">
        <f>ROUND(G1565*AP1565,2)</f>
        <v>0</v>
      </c>
      <c r="AY1565" s="65" t="s">
        <v>1073</v>
      </c>
      <c r="AZ1565" s="65" t="s">
        <v>2616</v>
      </c>
      <c r="BA1565" s="46" t="s">
        <v>2557</v>
      </c>
      <c r="BC1565" s="34">
        <f>AW1565+AX1565</f>
        <v>0</v>
      </c>
      <c r="BD1565" s="34">
        <f>H1565/(100-BE1565)*100</f>
        <v>0</v>
      </c>
      <c r="BE1565" s="34">
        <v>0</v>
      </c>
      <c r="BF1565" s="34">
        <f>1565</f>
        <v>1565</v>
      </c>
      <c r="BH1565" s="34">
        <f>G1565*AO1565</f>
        <v>0</v>
      </c>
      <c r="BI1565" s="34">
        <f>G1565*AP1565</f>
        <v>0</v>
      </c>
      <c r="BJ1565" s="34">
        <f>G1565*H1565</f>
        <v>0</v>
      </c>
      <c r="BK1565" s="34"/>
      <c r="BL1565" s="34">
        <v>725</v>
      </c>
      <c r="BW1565" s="34">
        <v>21</v>
      </c>
      <c r="BX1565" s="3" t="s">
        <v>2864</v>
      </c>
    </row>
    <row r="1566" spans="1:76" x14ac:dyDescent="0.25">
      <c r="A1566" s="66"/>
      <c r="D1566" s="67" t="s">
        <v>129</v>
      </c>
      <c r="E1566" s="67" t="s">
        <v>4</v>
      </c>
      <c r="G1566" s="68">
        <v>1</v>
      </c>
      <c r="K1566" s="59"/>
    </row>
    <row r="1567" spans="1:76" x14ac:dyDescent="0.25">
      <c r="A1567" s="1" t="s">
        <v>2865</v>
      </c>
      <c r="B1567" s="2" t="s">
        <v>93</v>
      </c>
      <c r="C1567" s="2" t="s">
        <v>2866</v>
      </c>
      <c r="D1567" s="86" t="s">
        <v>2867</v>
      </c>
      <c r="E1567" s="81"/>
      <c r="F1567" s="2" t="s">
        <v>1072</v>
      </c>
      <c r="G1567" s="34">
        <v>2</v>
      </c>
      <c r="H1567" s="64">
        <v>0</v>
      </c>
      <c r="I1567" s="34">
        <f>ROUND(G1567*H1567,2)</f>
        <v>0</v>
      </c>
      <c r="J1567" s="65" t="s">
        <v>133</v>
      </c>
      <c r="K1567" s="59"/>
      <c r="Z1567" s="34">
        <f>ROUND(IF(AQ1567="5",BJ1567,0),2)</f>
        <v>0</v>
      </c>
      <c r="AB1567" s="34">
        <f>ROUND(IF(AQ1567="1",BH1567,0),2)</f>
        <v>0</v>
      </c>
      <c r="AC1567" s="34">
        <f>ROUND(IF(AQ1567="1",BI1567,0),2)</f>
        <v>0</v>
      </c>
      <c r="AD1567" s="34">
        <f>ROUND(IF(AQ1567="7",BH1567,0),2)</f>
        <v>0</v>
      </c>
      <c r="AE1567" s="34">
        <f>ROUND(IF(AQ1567="7",BI1567,0),2)</f>
        <v>0</v>
      </c>
      <c r="AF1567" s="34">
        <f>ROUND(IF(AQ1567="2",BH1567,0),2)</f>
        <v>0</v>
      </c>
      <c r="AG1567" s="34">
        <f>ROUND(IF(AQ1567="2",BI1567,0),2)</f>
        <v>0</v>
      </c>
      <c r="AH1567" s="34">
        <f>ROUND(IF(AQ1567="0",BJ1567,0),2)</f>
        <v>0</v>
      </c>
      <c r="AI1567" s="46" t="s">
        <v>93</v>
      </c>
      <c r="AJ1567" s="34">
        <f>IF(AN1567=0,I1567,0)</f>
        <v>0</v>
      </c>
      <c r="AK1567" s="34">
        <f>IF(AN1567=12,I1567,0)</f>
        <v>0</v>
      </c>
      <c r="AL1567" s="34">
        <f>IF(AN1567=21,I1567,0)</f>
        <v>0</v>
      </c>
      <c r="AN1567" s="34">
        <v>21</v>
      </c>
      <c r="AO1567" s="34">
        <f>H1567*0.866262481</f>
        <v>0</v>
      </c>
      <c r="AP1567" s="34">
        <f>H1567*(1-0.866262481)</f>
        <v>0</v>
      </c>
      <c r="AQ1567" s="65" t="s">
        <v>175</v>
      </c>
      <c r="AV1567" s="34">
        <f>ROUND(AW1567+AX1567,2)</f>
        <v>0</v>
      </c>
      <c r="AW1567" s="34">
        <f>ROUND(G1567*AO1567,2)</f>
        <v>0</v>
      </c>
      <c r="AX1567" s="34">
        <f>ROUND(G1567*AP1567,2)</f>
        <v>0</v>
      </c>
      <c r="AY1567" s="65" t="s">
        <v>1073</v>
      </c>
      <c r="AZ1567" s="65" t="s">
        <v>2616</v>
      </c>
      <c r="BA1567" s="46" t="s">
        <v>2557</v>
      </c>
      <c r="BC1567" s="34">
        <f>AW1567+AX1567</f>
        <v>0</v>
      </c>
      <c r="BD1567" s="34">
        <f>H1567/(100-BE1567)*100</f>
        <v>0</v>
      </c>
      <c r="BE1567" s="34">
        <v>0</v>
      </c>
      <c r="BF1567" s="34">
        <f>1567</f>
        <v>1567</v>
      </c>
      <c r="BH1567" s="34">
        <f>G1567*AO1567</f>
        <v>0</v>
      </c>
      <c r="BI1567" s="34">
        <f>G1567*AP1567</f>
        <v>0</v>
      </c>
      <c r="BJ1567" s="34">
        <f>G1567*H1567</f>
        <v>0</v>
      </c>
      <c r="BK1567" s="34"/>
      <c r="BL1567" s="34">
        <v>725</v>
      </c>
      <c r="BW1567" s="34">
        <v>21</v>
      </c>
      <c r="BX1567" s="3" t="s">
        <v>2867</v>
      </c>
    </row>
    <row r="1568" spans="1:76" x14ac:dyDescent="0.25">
      <c r="A1568" s="66"/>
      <c r="D1568" s="67" t="s">
        <v>140</v>
      </c>
      <c r="E1568" s="67" t="s">
        <v>4</v>
      </c>
      <c r="G1568" s="68">
        <v>2</v>
      </c>
      <c r="K1568" s="59"/>
    </row>
    <row r="1569" spans="1:76" x14ac:dyDescent="0.25">
      <c r="A1569" s="1" t="s">
        <v>2868</v>
      </c>
      <c r="B1569" s="2" t="s">
        <v>93</v>
      </c>
      <c r="C1569" s="2" t="s">
        <v>2869</v>
      </c>
      <c r="D1569" s="86" t="s">
        <v>2870</v>
      </c>
      <c r="E1569" s="81"/>
      <c r="F1569" s="2" t="s">
        <v>178</v>
      </c>
      <c r="G1569" s="34">
        <v>1.0402800000000001</v>
      </c>
      <c r="H1569" s="64">
        <v>0</v>
      </c>
      <c r="I1569" s="34">
        <f>ROUND(G1569*H1569,2)</f>
        <v>0</v>
      </c>
      <c r="J1569" s="65" t="s">
        <v>133</v>
      </c>
      <c r="K1569" s="59"/>
      <c r="Z1569" s="34">
        <f>ROUND(IF(AQ1569="5",BJ1569,0),2)</f>
        <v>0</v>
      </c>
      <c r="AB1569" s="34">
        <f>ROUND(IF(AQ1569="1",BH1569,0),2)</f>
        <v>0</v>
      </c>
      <c r="AC1569" s="34">
        <f>ROUND(IF(AQ1569="1",BI1569,0),2)</f>
        <v>0</v>
      </c>
      <c r="AD1569" s="34">
        <f>ROUND(IF(AQ1569="7",BH1569,0),2)</f>
        <v>0</v>
      </c>
      <c r="AE1569" s="34">
        <f>ROUND(IF(AQ1569="7",BI1569,0),2)</f>
        <v>0</v>
      </c>
      <c r="AF1569" s="34">
        <f>ROUND(IF(AQ1569="2",BH1569,0),2)</f>
        <v>0</v>
      </c>
      <c r="AG1569" s="34">
        <f>ROUND(IF(AQ1569="2",BI1569,0),2)</f>
        <v>0</v>
      </c>
      <c r="AH1569" s="34">
        <f>ROUND(IF(AQ1569="0",BJ1569,0),2)</f>
        <v>0</v>
      </c>
      <c r="AI1569" s="46" t="s">
        <v>93</v>
      </c>
      <c r="AJ1569" s="34">
        <f>IF(AN1569=0,I1569,0)</f>
        <v>0</v>
      </c>
      <c r="AK1569" s="34">
        <f>IF(AN1569=12,I1569,0)</f>
        <v>0</v>
      </c>
      <c r="AL1569" s="34">
        <f>IF(AN1569=21,I1569,0)</f>
        <v>0</v>
      </c>
      <c r="AN1569" s="34">
        <v>21</v>
      </c>
      <c r="AO1569" s="34">
        <f>H1569*0</f>
        <v>0</v>
      </c>
      <c r="AP1569" s="34">
        <f>H1569*(1-0)</f>
        <v>0</v>
      </c>
      <c r="AQ1569" s="65" t="s">
        <v>166</v>
      </c>
      <c r="AV1569" s="34">
        <f>ROUND(AW1569+AX1569,2)</f>
        <v>0</v>
      </c>
      <c r="AW1569" s="34">
        <f>ROUND(G1569*AO1569,2)</f>
        <v>0</v>
      </c>
      <c r="AX1569" s="34">
        <f>ROUND(G1569*AP1569,2)</f>
        <v>0</v>
      </c>
      <c r="AY1569" s="65" t="s">
        <v>1073</v>
      </c>
      <c r="AZ1569" s="65" t="s">
        <v>2616</v>
      </c>
      <c r="BA1569" s="46" t="s">
        <v>2557</v>
      </c>
      <c r="BC1569" s="34">
        <f>AW1569+AX1569</f>
        <v>0</v>
      </c>
      <c r="BD1569" s="34">
        <f>H1569/(100-BE1569)*100</f>
        <v>0</v>
      </c>
      <c r="BE1569" s="34">
        <v>0</v>
      </c>
      <c r="BF1569" s="34">
        <f>1569</f>
        <v>1569</v>
      </c>
      <c r="BH1569" s="34">
        <f>G1569*AO1569</f>
        <v>0</v>
      </c>
      <c r="BI1569" s="34">
        <f>G1569*AP1569</f>
        <v>0</v>
      </c>
      <c r="BJ1569" s="34">
        <f>G1569*H1569</f>
        <v>0</v>
      </c>
      <c r="BK1569" s="34"/>
      <c r="BL1569" s="34">
        <v>725</v>
      </c>
      <c r="BW1569" s="34">
        <v>21</v>
      </c>
      <c r="BX1569" s="3" t="s">
        <v>2870</v>
      </c>
    </row>
    <row r="1570" spans="1:76" x14ac:dyDescent="0.25">
      <c r="A1570" s="60" t="s">
        <v>4</v>
      </c>
      <c r="B1570" s="61" t="s">
        <v>93</v>
      </c>
      <c r="C1570" s="61" t="s">
        <v>755</v>
      </c>
      <c r="D1570" s="167" t="s">
        <v>2871</v>
      </c>
      <c r="E1570" s="168"/>
      <c r="F1570" s="62" t="s">
        <v>79</v>
      </c>
      <c r="G1570" s="62" t="s">
        <v>79</v>
      </c>
      <c r="H1570" s="63" t="s">
        <v>79</v>
      </c>
      <c r="I1570" s="39">
        <f>SUM(I1571:I1586)</f>
        <v>0</v>
      </c>
      <c r="J1570" s="46" t="s">
        <v>4</v>
      </c>
      <c r="K1570" s="59"/>
      <c r="AI1570" s="46" t="s">
        <v>93</v>
      </c>
      <c r="AS1570" s="39">
        <f>SUM(AJ1571:AJ1586)</f>
        <v>0</v>
      </c>
      <c r="AT1570" s="39">
        <f>SUM(AK1571:AK1586)</f>
        <v>0</v>
      </c>
      <c r="AU1570" s="39">
        <f>SUM(AL1571:AL1586)</f>
        <v>0</v>
      </c>
    </row>
    <row r="1571" spans="1:76" x14ac:dyDescent="0.25">
      <c r="A1571" s="1" t="s">
        <v>2872</v>
      </c>
      <c r="B1571" s="2" t="s">
        <v>93</v>
      </c>
      <c r="C1571" s="2" t="s">
        <v>2873</v>
      </c>
      <c r="D1571" s="86" t="s">
        <v>2874</v>
      </c>
      <c r="E1571" s="81"/>
      <c r="F1571" s="2" t="s">
        <v>239</v>
      </c>
      <c r="G1571" s="34">
        <v>7</v>
      </c>
      <c r="H1571" s="64">
        <v>0</v>
      </c>
      <c r="I1571" s="34">
        <f>ROUND(G1571*H1571,2)</f>
        <v>0</v>
      </c>
      <c r="J1571" s="65" t="s">
        <v>133</v>
      </c>
      <c r="K1571" s="59"/>
      <c r="Z1571" s="34">
        <f>ROUND(IF(AQ1571="5",BJ1571,0),2)</f>
        <v>0</v>
      </c>
      <c r="AB1571" s="34">
        <f>ROUND(IF(AQ1571="1",BH1571,0),2)</f>
        <v>0</v>
      </c>
      <c r="AC1571" s="34">
        <f>ROUND(IF(AQ1571="1",BI1571,0),2)</f>
        <v>0</v>
      </c>
      <c r="AD1571" s="34">
        <f>ROUND(IF(AQ1571="7",BH1571,0),2)</f>
        <v>0</v>
      </c>
      <c r="AE1571" s="34">
        <f>ROUND(IF(AQ1571="7",BI1571,0),2)</f>
        <v>0</v>
      </c>
      <c r="AF1571" s="34">
        <f>ROUND(IF(AQ1571="2",BH1571,0),2)</f>
        <v>0</v>
      </c>
      <c r="AG1571" s="34">
        <f>ROUND(IF(AQ1571="2",BI1571,0),2)</f>
        <v>0</v>
      </c>
      <c r="AH1571" s="34">
        <f>ROUND(IF(AQ1571="0",BJ1571,0),2)</f>
        <v>0</v>
      </c>
      <c r="AI1571" s="46" t="s">
        <v>93</v>
      </c>
      <c r="AJ1571" s="34">
        <f>IF(AN1571=0,I1571,0)</f>
        <v>0</v>
      </c>
      <c r="AK1571" s="34">
        <f>IF(AN1571=12,I1571,0)</f>
        <v>0</v>
      </c>
      <c r="AL1571" s="34">
        <f>IF(AN1571=21,I1571,0)</f>
        <v>0</v>
      </c>
      <c r="AN1571" s="34">
        <v>21</v>
      </c>
      <c r="AO1571" s="34">
        <f>H1571*0.861574803</f>
        <v>0</v>
      </c>
      <c r="AP1571" s="34">
        <f>H1571*(1-0.861574803)</f>
        <v>0</v>
      </c>
      <c r="AQ1571" s="65" t="s">
        <v>129</v>
      </c>
      <c r="AV1571" s="34">
        <f>ROUND(AW1571+AX1571,2)</f>
        <v>0</v>
      </c>
      <c r="AW1571" s="34">
        <f>ROUND(G1571*AO1571,2)</f>
        <v>0</v>
      </c>
      <c r="AX1571" s="34">
        <f>ROUND(G1571*AP1571,2)</f>
        <v>0</v>
      </c>
      <c r="AY1571" s="65" t="s">
        <v>2875</v>
      </c>
      <c r="AZ1571" s="65" t="s">
        <v>2876</v>
      </c>
      <c r="BA1571" s="46" t="s">
        <v>2557</v>
      </c>
      <c r="BC1571" s="34">
        <f>AW1571+AX1571</f>
        <v>0</v>
      </c>
      <c r="BD1571" s="34">
        <f>H1571/(100-BE1571)*100</f>
        <v>0</v>
      </c>
      <c r="BE1571" s="34">
        <v>0</v>
      </c>
      <c r="BF1571" s="34">
        <f>1571</f>
        <v>1571</v>
      </c>
      <c r="BH1571" s="34">
        <f>G1571*AO1571</f>
        <v>0</v>
      </c>
      <c r="BI1571" s="34">
        <f>G1571*AP1571</f>
        <v>0</v>
      </c>
      <c r="BJ1571" s="34">
        <f>G1571*H1571</f>
        <v>0</v>
      </c>
      <c r="BK1571" s="34"/>
      <c r="BL1571" s="34">
        <v>87</v>
      </c>
      <c r="BW1571" s="34">
        <v>21</v>
      </c>
      <c r="BX1571" s="3" t="s">
        <v>2874</v>
      </c>
    </row>
    <row r="1572" spans="1:76" ht="13.5" customHeight="1" x14ac:dyDescent="0.25">
      <c r="A1572" s="66"/>
      <c r="C1572" s="69" t="s">
        <v>204</v>
      </c>
      <c r="D1572" s="169" t="s">
        <v>2877</v>
      </c>
      <c r="E1572" s="170"/>
      <c r="F1572" s="170"/>
      <c r="G1572" s="170"/>
      <c r="H1572" s="171"/>
      <c r="I1572" s="170"/>
      <c r="J1572" s="170"/>
      <c r="K1572" s="172"/>
    </row>
    <row r="1573" spans="1:76" x14ac:dyDescent="0.25">
      <c r="A1573" s="66"/>
      <c r="D1573" s="67" t="s">
        <v>175</v>
      </c>
      <c r="E1573" s="67" t="s">
        <v>4</v>
      </c>
      <c r="G1573" s="68">
        <v>7</v>
      </c>
      <c r="K1573" s="59"/>
    </row>
    <row r="1574" spans="1:76" x14ac:dyDescent="0.25">
      <c r="A1574" s="1" t="s">
        <v>2878</v>
      </c>
      <c r="B1574" s="2" t="s">
        <v>93</v>
      </c>
      <c r="C1574" s="2" t="s">
        <v>2879</v>
      </c>
      <c r="D1574" s="86" t="s">
        <v>2880</v>
      </c>
      <c r="E1574" s="81"/>
      <c r="F1574" s="2" t="s">
        <v>239</v>
      </c>
      <c r="G1574" s="34">
        <v>32</v>
      </c>
      <c r="H1574" s="64">
        <v>0</v>
      </c>
      <c r="I1574" s="34">
        <f>ROUND(G1574*H1574,2)</f>
        <v>0</v>
      </c>
      <c r="J1574" s="65" t="s">
        <v>133</v>
      </c>
      <c r="K1574" s="59"/>
      <c r="Z1574" s="34">
        <f>ROUND(IF(AQ1574="5",BJ1574,0),2)</f>
        <v>0</v>
      </c>
      <c r="AB1574" s="34">
        <f>ROUND(IF(AQ1574="1",BH1574,0),2)</f>
        <v>0</v>
      </c>
      <c r="AC1574" s="34">
        <f>ROUND(IF(AQ1574="1",BI1574,0),2)</f>
        <v>0</v>
      </c>
      <c r="AD1574" s="34">
        <f>ROUND(IF(AQ1574="7",BH1574,0),2)</f>
        <v>0</v>
      </c>
      <c r="AE1574" s="34">
        <f>ROUND(IF(AQ1574="7",BI1574,0),2)</f>
        <v>0</v>
      </c>
      <c r="AF1574" s="34">
        <f>ROUND(IF(AQ1574="2",BH1574,0),2)</f>
        <v>0</v>
      </c>
      <c r="AG1574" s="34">
        <f>ROUND(IF(AQ1574="2",BI1574,0),2)</f>
        <v>0</v>
      </c>
      <c r="AH1574" s="34">
        <f>ROUND(IF(AQ1574="0",BJ1574,0),2)</f>
        <v>0</v>
      </c>
      <c r="AI1574" s="46" t="s">
        <v>93</v>
      </c>
      <c r="AJ1574" s="34">
        <f>IF(AN1574=0,I1574,0)</f>
        <v>0</v>
      </c>
      <c r="AK1574" s="34">
        <f>IF(AN1574=12,I1574,0)</f>
        <v>0</v>
      </c>
      <c r="AL1574" s="34">
        <f>IF(AN1574=21,I1574,0)</f>
        <v>0</v>
      </c>
      <c r="AN1574" s="34">
        <v>21</v>
      </c>
      <c r="AO1574" s="34">
        <f>H1574*0.823403866</f>
        <v>0</v>
      </c>
      <c r="AP1574" s="34">
        <f>H1574*(1-0.823403866)</f>
        <v>0</v>
      </c>
      <c r="AQ1574" s="65" t="s">
        <v>129</v>
      </c>
      <c r="AV1574" s="34">
        <f>ROUND(AW1574+AX1574,2)</f>
        <v>0</v>
      </c>
      <c r="AW1574" s="34">
        <f>ROUND(G1574*AO1574,2)</f>
        <v>0</v>
      </c>
      <c r="AX1574" s="34">
        <f>ROUND(G1574*AP1574,2)</f>
        <v>0</v>
      </c>
      <c r="AY1574" s="65" t="s">
        <v>2875</v>
      </c>
      <c r="AZ1574" s="65" t="s">
        <v>2876</v>
      </c>
      <c r="BA1574" s="46" t="s">
        <v>2557</v>
      </c>
      <c r="BC1574" s="34">
        <f>AW1574+AX1574</f>
        <v>0</v>
      </c>
      <c r="BD1574" s="34">
        <f>H1574/(100-BE1574)*100</f>
        <v>0</v>
      </c>
      <c r="BE1574" s="34">
        <v>0</v>
      </c>
      <c r="BF1574" s="34">
        <f>1574</f>
        <v>1574</v>
      </c>
      <c r="BH1574" s="34">
        <f>G1574*AO1574</f>
        <v>0</v>
      </c>
      <c r="BI1574" s="34">
        <f>G1574*AP1574</f>
        <v>0</v>
      </c>
      <c r="BJ1574" s="34">
        <f>G1574*H1574</f>
        <v>0</v>
      </c>
      <c r="BK1574" s="34"/>
      <c r="BL1574" s="34">
        <v>87</v>
      </c>
      <c r="BW1574" s="34">
        <v>21</v>
      </c>
      <c r="BX1574" s="3" t="s">
        <v>2880</v>
      </c>
    </row>
    <row r="1575" spans="1:76" ht="13.5" customHeight="1" x14ac:dyDescent="0.25">
      <c r="A1575" s="66"/>
      <c r="C1575" s="69" t="s">
        <v>204</v>
      </c>
      <c r="D1575" s="169" t="s">
        <v>2881</v>
      </c>
      <c r="E1575" s="170"/>
      <c r="F1575" s="170"/>
      <c r="G1575" s="170"/>
      <c r="H1575" s="171"/>
      <c r="I1575" s="170"/>
      <c r="J1575" s="170"/>
      <c r="K1575" s="172"/>
    </row>
    <row r="1576" spans="1:76" x14ac:dyDescent="0.25">
      <c r="A1576" s="66"/>
      <c r="D1576" s="67" t="s">
        <v>362</v>
      </c>
      <c r="E1576" s="67" t="s">
        <v>4</v>
      </c>
      <c r="G1576" s="68">
        <v>32</v>
      </c>
      <c r="K1576" s="59"/>
    </row>
    <row r="1577" spans="1:76" x14ac:dyDescent="0.25">
      <c r="A1577" s="1" t="s">
        <v>2882</v>
      </c>
      <c r="B1577" s="2" t="s">
        <v>93</v>
      </c>
      <c r="C1577" s="2" t="s">
        <v>2883</v>
      </c>
      <c r="D1577" s="86" t="s">
        <v>2880</v>
      </c>
      <c r="E1577" s="81"/>
      <c r="F1577" s="2" t="s">
        <v>239</v>
      </c>
      <c r="G1577" s="34">
        <v>24</v>
      </c>
      <c r="H1577" s="64">
        <v>0</v>
      </c>
      <c r="I1577" s="34">
        <f>ROUND(G1577*H1577,2)</f>
        <v>0</v>
      </c>
      <c r="J1577" s="65" t="s">
        <v>133</v>
      </c>
      <c r="K1577" s="59"/>
      <c r="Z1577" s="34">
        <f>ROUND(IF(AQ1577="5",BJ1577,0),2)</f>
        <v>0</v>
      </c>
      <c r="AB1577" s="34">
        <f>ROUND(IF(AQ1577="1",BH1577,0),2)</f>
        <v>0</v>
      </c>
      <c r="AC1577" s="34">
        <f>ROUND(IF(AQ1577="1",BI1577,0),2)</f>
        <v>0</v>
      </c>
      <c r="AD1577" s="34">
        <f>ROUND(IF(AQ1577="7",BH1577,0),2)</f>
        <v>0</v>
      </c>
      <c r="AE1577" s="34">
        <f>ROUND(IF(AQ1577="7",BI1577,0),2)</f>
        <v>0</v>
      </c>
      <c r="AF1577" s="34">
        <f>ROUND(IF(AQ1577="2",BH1577,0),2)</f>
        <v>0</v>
      </c>
      <c r="AG1577" s="34">
        <f>ROUND(IF(AQ1577="2",BI1577,0),2)</f>
        <v>0</v>
      </c>
      <c r="AH1577" s="34">
        <f>ROUND(IF(AQ1577="0",BJ1577,0),2)</f>
        <v>0</v>
      </c>
      <c r="AI1577" s="46" t="s">
        <v>93</v>
      </c>
      <c r="AJ1577" s="34">
        <f>IF(AN1577=0,I1577,0)</f>
        <v>0</v>
      </c>
      <c r="AK1577" s="34">
        <f>IF(AN1577=12,I1577,0)</f>
        <v>0</v>
      </c>
      <c r="AL1577" s="34">
        <f>IF(AN1577=21,I1577,0)</f>
        <v>0</v>
      </c>
      <c r="AN1577" s="34">
        <v>21</v>
      </c>
      <c r="AO1577" s="34">
        <f>H1577*0.7201662</f>
        <v>0</v>
      </c>
      <c r="AP1577" s="34">
        <f>H1577*(1-0.7201662)</f>
        <v>0</v>
      </c>
      <c r="AQ1577" s="65" t="s">
        <v>129</v>
      </c>
      <c r="AV1577" s="34">
        <f>ROUND(AW1577+AX1577,2)</f>
        <v>0</v>
      </c>
      <c r="AW1577" s="34">
        <f>ROUND(G1577*AO1577,2)</f>
        <v>0</v>
      </c>
      <c r="AX1577" s="34">
        <f>ROUND(G1577*AP1577,2)</f>
        <v>0</v>
      </c>
      <c r="AY1577" s="65" t="s">
        <v>2875</v>
      </c>
      <c r="AZ1577" s="65" t="s">
        <v>2876</v>
      </c>
      <c r="BA1577" s="46" t="s">
        <v>2557</v>
      </c>
      <c r="BC1577" s="34">
        <f>AW1577+AX1577</f>
        <v>0</v>
      </c>
      <c r="BD1577" s="34">
        <f>H1577/(100-BE1577)*100</f>
        <v>0</v>
      </c>
      <c r="BE1577" s="34">
        <v>0</v>
      </c>
      <c r="BF1577" s="34">
        <f>1577</f>
        <v>1577</v>
      </c>
      <c r="BH1577" s="34">
        <f>G1577*AO1577</f>
        <v>0</v>
      </c>
      <c r="BI1577" s="34">
        <f>G1577*AP1577</f>
        <v>0</v>
      </c>
      <c r="BJ1577" s="34">
        <f>G1577*H1577</f>
        <v>0</v>
      </c>
      <c r="BK1577" s="34"/>
      <c r="BL1577" s="34">
        <v>87</v>
      </c>
      <c r="BW1577" s="34">
        <v>21</v>
      </c>
      <c r="BX1577" s="3" t="s">
        <v>2880</v>
      </c>
    </row>
    <row r="1578" spans="1:76" ht="13.5" customHeight="1" x14ac:dyDescent="0.25">
      <c r="A1578" s="66"/>
      <c r="C1578" s="69" t="s">
        <v>204</v>
      </c>
      <c r="D1578" s="169" t="s">
        <v>2884</v>
      </c>
      <c r="E1578" s="170"/>
      <c r="F1578" s="170"/>
      <c r="G1578" s="170"/>
      <c r="H1578" s="171"/>
      <c r="I1578" s="170"/>
      <c r="J1578" s="170"/>
      <c r="K1578" s="172"/>
    </row>
    <row r="1579" spans="1:76" x14ac:dyDescent="0.25">
      <c r="A1579" s="66"/>
      <c r="D1579" s="67" t="s">
        <v>298</v>
      </c>
      <c r="E1579" s="67" t="s">
        <v>4</v>
      </c>
      <c r="G1579" s="68">
        <v>24</v>
      </c>
      <c r="K1579" s="59"/>
    </row>
    <row r="1580" spans="1:76" x14ac:dyDescent="0.25">
      <c r="A1580" s="1" t="s">
        <v>2885</v>
      </c>
      <c r="B1580" s="2" t="s">
        <v>93</v>
      </c>
      <c r="C1580" s="2" t="s">
        <v>2886</v>
      </c>
      <c r="D1580" s="86" t="s">
        <v>2887</v>
      </c>
      <c r="E1580" s="81"/>
      <c r="F1580" s="2" t="s">
        <v>258</v>
      </c>
      <c r="G1580" s="34">
        <v>1</v>
      </c>
      <c r="H1580" s="64">
        <v>0</v>
      </c>
      <c r="I1580" s="34">
        <f>ROUND(G1580*H1580,2)</f>
        <v>0</v>
      </c>
      <c r="J1580" s="65" t="s">
        <v>133</v>
      </c>
      <c r="K1580" s="59"/>
      <c r="Z1580" s="34">
        <f>ROUND(IF(AQ1580="5",BJ1580,0),2)</f>
        <v>0</v>
      </c>
      <c r="AB1580" s="34">
        <f>ROUND(IF(AQ1580="1",BH1580,0),2)</f>
        <v>0</v>
      </c>
      <c r="AC1580" s="34">
        <f>ROUND(IF(AQ1580="1",BI1580,0),2)</f>
        <v>0</v>
      </c>
      <c r="AD1580" s="34">
        <f>ROUND(IF(AQ1580="7",BH1580,0),2)</f>
        <v>0</v>
      </c>
      <c r="AE1580" s="34">
        <f>ROUND(IF(AQ1580="7",BI1580,0),2)</f>
        <v>0</v>
      </c>
      <c r="AF1580" s="34">
        <f>ROUND(IF(AQ1580="2",BH1580,0),2)</f>
        <v>0</v>
      </c>
      <c r="AG1580" s="34">
        <f>ROUND(IF(AQ1580="2",BI1580,0),2)</f>
        <v>0</v>
      </c>
      <c r="AH1580" s="34">
        <f>ROUND(IF(AQ1580="0",BJ1580,0),2)</f>
        <v>0</v>
      </c>
      <c r="AI1580" s="46" t="s">
        <v>93</v>
      </c>
      <c r="AJ1580" s="34">
        <f>IF(AN1580=0,I1580,0)</f>
        <v>0</v>
      </c>
      <c r="AK1580" s="34">
        <f>IF(AN1580=12,I1580,0)</f>
        <v>0</v>
      </c>
      <c r="AL1580" s="34">
        <f>IF(AN1580=21,I1580,0)</f>
        <v>0</v>
      </c>
      <c r="AN1580" s="34">
        <v>21</v>
      </c>
      <c r="AO1580" s="34">
        <f>H1580*1</f>
        <v>0</v>
      </c>
      <c r="AP1580" s="34">
        <f>H1580*(1-1)</f>
        <v>0</v>
      </c>
      <c r="AQ1580" s="65" t="s">
        <v>129</v>
      </c>
      <c r="AV1580" s="34">
        <f>ROUND(AW1580+AX1580,2)</f>
        <v>0</v>
      </c>
      <c r="AW1580" s="34">
        <f>ROUND(G1580*AO1580,2)</f>
        <v>0</v>
      </c>
      <c r="AX1580" s="34">
        <f>ROUND(G1580*AP1580,2)</f>
        <v>0</v>
      </c>
      <c r="AY1580" s="65" t="s">
        <v>2875</v>
      </c>
      <c r="AZ1580" s="65" t="s">
        <v>2876</v>
      </c>
      <c r="BA1580" s="46" t="s">
        <v>2557</v>
      </c>
      <c r="BC1580" s="34">
        <f>AW1580+AX1580</f>
        <v>0</v>
      </c>
      <c r="BD1580" s="34">
        <f>H1580/(100-BE1580)*100</f>
        <v>0</v>
      </c>
      <c r="BE1580" s="34">
        <v>0</v>
      </c>
      <c r="BF1580" s="34">
        <f>1580</f>
        <v>1580</v>
      </c>
      <c r="BH1580" s="34">
        <f>G1580*AO1580</f>
        <v>0</v>
      </c>
      <c r="BI1580" s="34">
        <f>G1580*AP1580</f>
        <v>0</v>
      </c>
      <c r="BJ1580" s="34">
        <f>G1580*H1580</f>
        <v>0</v>
      </c>
      <c r="BK1580" s="34"/>
      <c r="BL1580" s="34">
        <v>87</v>
      </c>
      <c r="BW1580" s="34">
        <v>21</v>
      </c>
      <c r="BX1580" s="3" t="s">
        <v>2887</v>
      </c>
    </row>
    <row r="1581" spans="1:76" x14ac:dyDescent="0.25">
      <c r="A1581" s="66"/>
      <c r="D1581" s="67" t="s">
        <v>129</v>
      </c>
      <c r="E1581" s="67" t="s">
        <v>4</v>
      </c>
      <c r="G1581" s="68">
        <v>1</v>
      </c>
      <c r="K1581" s="59"/>
    </row>
    <row r="1582" spans="1:76" x14ac:dyDescent="0.25">
      <c r="A1582" s="1" t="s">
        <v>2888</v>
      </c>
      <c r="B1582" s="2" t="s">
        <v>93</v>
      </c>
      <c r="C1582" s="2" t="s">
        <v>2889</v>
      </c>
      <c r="D1582" s="86" t="s">
        <v>2890</v>
      </c>
      <c r="E1582" s="81"/>
      <c r="F1582" s="2" t="s">
        <v>258</v>
      </c>
      <c r="G1582" s="34">
        <v>5</v>
      </c>
      <c r="H1582" s="64">
        <v>0</v>
      </c>
      <c r="I1582" s="34">
        <f>ROUND(G1582*H1582,2)</f>
        <v>0</v>
      </c>
      <c r="J1582" s="65" t="s">
        <v>133</v>
      </c>
      <c r="K1582" s="59"/>
      <c r="Z1582" s="34">
        <f>ROUND(IF(AQ1582="5",BJ1582,0),2)</f>
        <v>0</v>
      </c>
      <c r="AB1582" s="34">
        <f>ROUND(IF(AQ1582="1",BH1582,0),2)</f>
        <v>0</v>
      </c>
      <c r="AC1582" s="34">
        <f>ROUND(IF(AQ1582="1",BI1582,0),2)</f>
        <v>0</v>
      </c>
      <c r="AD1582" s="34">
        <f>ROUND(IF(AQ1582="7",BH1582,0),2)</f>
        <v>0</v>
      </c>
      <c r="AE1582" s="34">
        <f>ROUND(IF(AQ1582="7",BI1582,0),2)</f>
        <v>0</v>
      </c>
      <c r="AF1582" s="34">
        <f>ROUND(IF(AQ1582="2",BH1582,0),2)</f>
        <v>0</v>
      </c>
      <c r="AG1582" s="34">
        <f>ROUND(IF(AQ1582="2",BI1582,0),2)</f>
        <v>0</v>
      </c>
      <c r="AH1582" s="34">
        <f>ROUND(IF(AQ1582="0",BJ1582,0),2)</f>
        <v>0</v>
      </c>
      <c r="AI1582" s="46" t="s">
        <v>93</v>
      </c>
      <c r="AJ1582" s="34">
        <f>IF(AN1582=0,I1582,0)</f>
        <v>0</v>
      </c>
      <c r="AK1582" s="34">
        <f>IF(AN1582=12,I1582,0)</f>
        <v>0</v>
      </c>
      <c r="AL1582" s="34">
        <f>IF(AN1582=21,I1582,0)</f>
        <v>0</v>
      </c>
      <c r="AN1582" s="34">
        <v>21</v>
      </c>
      <c r="AO1582" s="34">
        <f>H1582*1</f>
        <v>0</v>
      </c>
      <c r="AP1582" s="34">
        <f>H1582*(1-1)</f>
        <v>0</v>
      </c>
      <c r="AQ1582" s="65" t="s">
        <v>129</v>
      </c>
      <c r="AV1582" s="34">
        <f>ROUND(AW1582+AX1582,2)</f>
        <v>0</v>
      </c>
      <c r="AW1582" s="34">
        <f>ROUND(G1582*AO1582,2)</f>
        <v>0</v>
      </c>
      <c r="AX1582" s="34">
        <f>ROUND(G1582*AP1582,2)</f>
        <v>0</v>
      </c>
      <c r="AY1582" s="65" t="s">
        <v>2875</v>
      </c>
      <c r="AZ1582" s="65" t="s">
        <v>2876</v>
      </c>
      <c r="BA1582" s="46" t="s">
        <v>2557</v>
      </c>
      <c r="BC1582" s="34">
        <f>AW1582+AX1582</f>
        <v>0</v>
      </c>
      <c r="BD1582" s="34">
        <f>H1582/(100-BE1582)*100</f>
        <v>0</v>
      </c>
      <c r="BE1582" s="34">
        <v>0</v>
      </c>
      <c r="BF1582" s="34">
        <f>1582</f>
        <v>1582</v>
      </c>
      <c r="BH1582" s="34">
        <f>G1582*AO1582</f>
        <v>0</v>
      </c>
      <c r="BI1582" s="34">
        <f>G1582*AP1582</f>
        <v>0</v>
      </c>
      <c r="BJ1582" s="34">
        <f>G1582*H1582</f>
        <v>0</v>
      </c>
      <c r="BK1582" s="34"/>
      <c r="BL1582" s="34">
        <v>87</v>
      </c>
      <c r="BW1582" s="34">
        <v>21</v>
      </c>
      <c r="BX1582" s="3" t="s">
        <v>2890</v>
      </c>
    </row>
    <row r="1583" spans="1:76" x14ac:dyDescent="0.25">
      <c r="A1583" s="66"/>
      <c r="D1583" s="67" t="s">
        <v>166</v>
      </c>
      <c r="E1583" s="67" t="s">
        <v>4</v>
      </c>
      <c r="G1583" s="68">
        <v>5</v>
      </c>
      <c r="K1583" s="59"/>
    </row>
    <row r="1584" spans="1:76" x14ac:dyDescent="0.25">
      <c r="A1584" s="1" t="s">
        <v>2891</v>
      </c>
      <c r="B1584" s="2" t="s">
        <v>93</v>
      </c>
      <c r="C1584" s="2" t="s">
        <v>2892</v>
      </c>
      <c r="D1584" s="86" t="s">
        <v>2893</v>
      </c>
      <c r="E1584" s="81"/>
      <c r="F1584" s="2" t="s">
        <v>258</v>
      </c>
      <c r="G1584" s="34">
        <v>4</v>
      </c>
      <c r="H1584" s="64">
        <v>0</v>
      </c>
      <c r="I1584" s="34">
        <f>ROUND(G1584*H1584,2)</f>
        <v>0</v>
      </c>
      <c r="J1584" s="65" t="s">
        <v>133</v>
      </c>
      <c r="K1584" s="59"/>
      <c r="Z1584" s="34">
        <f>ROUND(IF(AQ1584="5",BJ1584,0),2)</f>
        <v>0</v>
      </c>
      <c r="AB1584" s="34">
        <f>ROUND(IF(AQ1584="1",BH1584,0),2)</f>
        <v>0</v>
      </c>
      <c r="AC1584" s="34">
        <f>ROUND(IF(AQ1584="1",BI1584,0),2)</f>
        <v>0</v>
      </c>
      <c r="AD1584" s="34">
        <f>ROUND(IF(AQ1584="7",BH1584,0),2)</f>
        <v>0</v>
      </c>
      <c r="AE1584" s="34">
        <f>ROUND(IF(AQ1584="7",BI1584,0),2)</f>
        <v>0</v>
      </c>
      <c r="AF1584" s="34">
        <f>ROUND(IF(AQ1584="2",BH1584,0),2)</f>
        <v>0</v>
      </c>
      <c r="AG1584" s="34">
        <f>ROUND(IF(AQ1584="2",BI1584,0),2)</f>
        <v>0</v>
      </c>
      <c r="AH1584" s="34">
        <f>ROUND(IF(AQ1584="0",BJ1584,0),2)</f>
        <v>0</v>
      </c>
      <c r="AI1584" s="46" t="s">
        <v>93</v>
      </c>
      <c r="AJ1584" s="34">
        <f>IF(AN1584=0,I1584,0)</f>
        <v>0</v>
      </c>
      <c r="AK1584" s="34">
        <f>IF(AN1584=12,I1584,0)</f>
        <v>0</v>
      </c>
      <c r="AL1584" s="34">
        <f>IF(AN1584=21,I1584,0)</f>
        <v>0</v>
      </c>
      <c r="AN1584" s="34">
        <v>21</v>
      </c>
      <c r="AO1584" s="34">
        <f>H1584*1</f>
        <v>0</v>
      </c>
      <c r="AP1584" s="34">
        <f>H1584*(1-1)</f>
        <v>0</v>
      </c>
      <c r="AQ1584" s="65" t="s">
        <v>129</v>
      </c>
      <c r="AV1584" s="34">
        <f>ROUND(AW1584+AX1584,2)</f>
        <v>0</v>
      </c>
      <c r="AW1584" s="34">
        <f>ROUND(G1584*AO1584,2)</f>
        <v>0</v>
      </c>
      <c r="AX1584" s="34">
        <f>ROUND(G1584*AP1584,2)</f>
        <v>0</v>
      </c>
      <c r="AY1584" s="65" t="s">
        <v>2875</v>
      </c>
      <c r="AZ1584" s="65" t="s">
        <v>2876</v>
      </c>
      <c r="BA1584" s="46" t="s">
        <v>2557</v>
      </c>
      <c r="BC1584" s="34">
        <f>AW1584+AX1584</f>
        <v>0</v>
      </c>
      <c r="BD1584" s="34">
        <f>H1584/(100-BE1584)*100</f>
        <v>0</v>
      </c>
      <c r="BE1584" s="34">
        <v>0</v>
      </c>
      <c r="BF1584" s="34">
        <f>1584</f>
        <v>1584</v>
      </c>
      <c r="BH1584" s="34">
        <f>G1584*AO1584</f>
        <v>0</v>
      </c>
      <c r="BI1584" s="34">
        <f>G1584*AP1584</f>
        <v>0</v>
      </c>
      <c r="BJ1584" s="34">
        <f>G1584*H1584</f>
        <v>0</v>
      </c>
      <c r="BK1584" s="34"/>
      <c r="BL1584" s="34">
        <v>87</v>
      </c>
      <c r="BW1584" s="34">
        <v>21</v>
      </c>
      <c r="BX1584" s="3" t="s">
        <v>2893</v>
      </c>
    </row>
    <row r="1585" spans="1:76" x14ac:dyDescent="0.25">
      <c r="A1585" s="66"/>
      <c r="D1585" s="67" t="s">
        <v>161</v>
      </c>
      <c r="E1585" s="67" t="s">
        <v>4</v>
      </c>
      <c r="G1585" s="68">
        <v>4</v>
      </c>
      <c r="K1585" s="59"/>
    </row>
    <row r="1586" spans="1:76" x14ac:dyDescent="0.25">
      <c r="A1586" s="1" t="s">
        <v>2894</v>
      </c>
      <c r="B1586" s="2" t="s">
        <v>93</v>
      </c>
      <c r="C1586" s="2" t="s">
        <v>2895</v>
      </c>
      <c r="D1586" s="86" t="s">
        <v>2896</v>
      </c>
      <c r="E1586" s="81"/>
      <c r="F1586" s="2" t="s">
        <v>258</v>
      </c>
      <c r="G1586" s="34">
        <v>4</v>
      </c>
      <c r="H1586" s="64">
        <v>0</v>
      </c>
      <c r="I1586" s="34">
        <f>ROUND(G1586*H1586,2)</f>
        <v>0</v>
      </c>
      <c r="J1586" s="65" t="s">
        <v>133</v>
      </c>
      <c r="K1586" s="59"/>
      <c r="Z1586" s="34">
        <f>ROUND(IF(AQ1586="5",BJ1586,0),2)</f>
        <v>0</v>
      </c>
      <c r="AB1586" s="34">
        <f>ROUND(IF(AQ1586="1",BH1586,0),2)</f>
        <v>0</v>
      </c>
      <c r="AC1586" s="34">
        <f>ROUND(IF(AQ1586="1",BI1586,0),2)</f>
        <v>0</v>
      </c>
      <c r="AD1586" s="34">
        <f>ROUND(IF(AQ1586="7",BH1586,0),2)</f>
        <v>0</v>
      </c>
      <c r="AE1586" s="34">
        <f>ROUND(IF(AQ1586="7",BI1586,0),2)</f>
        <v>0</v>
      </c>
      <c r="AF1586" s="34">
        <f>ROUND(IF(AQ1586="2",BH1586,0),2)</f>
        <v>0</v>
      </c>
      <c r="AG1586" s="34">
        <f>ROUND(IF(AQ1586="2",BI1586,0),2)</f>
        <v>0</v>
      </c>
      <c r="AH1586" s="34">
        <f>ROUND(IF(AQ1586="0",BJ1586,0),2)</f>
        <v>0</v>
      </c>
      <c r="AI1586" s="46" t="s">
        <v>93</v>
      </c>
      <c r="AJ1586" s="34">
        <f>IF(AN1586=0,I1586,0)</f>
        <v>0</v>
      </c>
      <c r="AK1586" s="34">
        <f>IF(AN1586=12,I1586,0)</f>
        <v>0</v>
      </c>
      <c r="AL1586" s="34">
        <f>IF(AN1586=21,I1586,0)</f>
        <v>0</v>
      </c>
      <c r="AN1586" s="34">
        <v>21</v>
      </c>
      <c r="AO1586" s="34">
        <f>H1586*1</f>
        <v>0</v>
      </c>
      <c r="AP1586" s="34">
        <f>H1586*(1-1)</f>
        <v>0</v>
      </c>
      <c r="AQ1586" s="65" t="s">
        <v>129</v>
      </c>
      <c r="AV1586" s="34">
        <f>ROUND(AW1586+AX1586,2)</f>
        <v>0</v>
      </c>
      <c r="AW1586" s="34">
        <f>ROUND(G1586*AO1586,2)</f>
        <v>0</v>
      </c>
      <c r="AX1586" s="34">
        <f>ROUND(G1586*AP1586,2)</f>
        <v>0</v>
      </c>
      <c r="AY1586" s="65" t="s">
        <v>2875</v>
      </c>
      <c r="AZ1586" s="65" t="s">
        <v>2876</v>
      </c>
      <c r="BA1586" s="46" t="s">
        <v>2557</v>
      </c>
      <c r="BC1586" s="34">
        <f>AW1586+AX1586</f>
        <v>0</v>
      </c>
      <c r="BD1586" s="34">
        <f>H1586/(100-BE1586)*100</f>
        <v>0</v>
      </c>
      <c r="BE1586" s="34">
        <v>0</v>
      </c>
      <c r="BF1586" s="34">
        <f>1586</f>
        <v>1586</v>
      </c>
      <c r="BH1586" s="34">
        <f>G1586*AO1586</f>
        <v>0</v>
      </c>
      <c r="BI1586" s="34">
        <f>G1586*AP1586</f>
        <v>0</v>
      </c>
      <c r="BJ1586" s="34">
        <f>G1586*H1586</f>
        <v>0</v>
      </c>
      <c r="BK1586" s="34"/>
      <c r="BL1586" s="34">
        <v>87</v>
      </c>
      <c r="BW1586" s="34">
        <v>21</v>
      </c>
      <c r="BX1586" s="3" t="s">
        <v>2896</v>
      </c>
    </row>
    <row r="1587" spans="1:76" x14ac:dyDescent="0.25">
      <c r="A1587" s="66"/>
      <c r="D1587" s="67" t="s">
        <v>161</v>
      </c>
      <c r="E1587" s="67" t="s">
        <v>4</v>
      </c>
      <c r="G1587" s="68">
        <v>4</v>
      </c>
      <c r="K1587" s="59"/>
    </row>
    <row r="1588" spans="1:76" x14ac:dyDescent="0.25">
      <c r="A1588" s="60" t="s">
        <v>4</v>
      </c>
      <c r="B1588" s="61" t="s">
        <v>93</v>
      </c>
      <c r="C1588" s="61" t="s">
        <v>763</v>
      </c>
      <c r="D1588" s="167" t="s">
        <v>2897</v>
      </c>
      <c r="E1588" s="168"/>
      <c r="F1588" s="62" t="s">
        <v>79</v>
      </c>
      <c r="G1588" s="62" t="s">
        <v>79</v>
      </c>
      <c r="H1588" s="63" t="s">
        <v>79</v>
      </c>
      <c r="I1588" s="39">
        <f>SUM(I1589:I1589)</f>
        <v>0</v>
      </c>
      <c r="J1588" s="46" t="s">
        <v>4</v>
      </c>
      <c r="K1588" s="59"/>
      <c r="AI1588" s="46" t="s">
        <v>93</v>
      </c>
      <c r="AS1588" s="39">
        <f>SUM(AJ1589:AJ1589)</f>
        <v>0</v>
      </c>
      <c r="AT1588" s="39">
        <f>SUM(AK1589:AK1589)</f>
        <v>0</v>
      </c>
      <c r="AU1588" s="39">
        <f>SUM(AL1589:AL1589)</f>
        <v>0</v>
      </c>
    </row>
    <row r="1589" spans="1:76" x14ac:dyDescent="0.25">
      <c r="A1589" s="1" t="s">
        <v>2898</v>
      </c>
      <c r="B1589" s="2" t="s">
        <v>93</v>
      </c>
      <c r="C1589" s="2" t="s">
        <v>2899</v>
      </c>
      <c r="D1589" s="86" t="s">
        <v>2900</v>
      </c>
      <c r="E1589" s="81"/>
      <c r="F1589" s="2" t="s">
        <v>258</v>
      </c>
      <c r="G1589" s="34">
        <v>2</v>
      </c>
      <c r="H1589" s="64">
        <v>0</v>
      </c>
      <c r="I1589" s="34">
        <f>ROUND(G1589*H1589,2)</f>
        <v>0</v>
      </c>
      <c r="J1589" s="65" t="s">
        <v>133</v>
      </c>
      <c r="K1589" s="59"/>
      <c r="Z1589" s="34">
        <f>ROUND(IF(AQ1589="5",BJ1589,0),2)</f>
        <v>0</v>
      </c>
      <c r="AB1589" s="34">
        <f>ROUND(IF(AQ1589="1",BH1589,0),2)</f>
        <v>0</v>
      </c>
      <c r="AC1589" s="34">
        <f>ROUND(IF(AQ1589="1",BI1589,0),2)</f>
        <v>0</v>
      </c>
      <c r="AD1589" s="34">
        <f>ROUND(IF(AQ1589="7",BH1589,0),2)</f>
        <v>0</v>
      </c>
      <c r="AE1589" s="34">
        <f>ROUND(IF(AQ1589="7",BI1589,0),2)</f>
        <v>0</v>
      </c>
      <c r="AF1589" s="34">
        <f>ROUND(IF(AQ1589="2",BH1589,0),2)</f>
        <v>0</v>
      </c>
      <c r="AG1589" s="34">
        <f>ROUND(IF(AQ1589="2",BI1589,0),2)</f>
        <v>0</v>
      </c>
      <c r="AH1589" s="34">
        <f>ROUND(IF(AQ1589="0",BJ1589,0),2)</f>
        <v>0</v>
      </c>
      <c r="AI1589" s="46" t="s">
        <v>93</v>
      </c>
      <c r="AJ1589" s="34">
        <f>IF(AN1589=0,I1589,0)</f>
        <v>0</v>
      </c>
      <c r="AK1589" s="34">
        <f>IF(AN1589=12,I1589,0)</f>
        <v>0</v>
      </c>
      <c r="AL1589" s="34">
        <f>IF(AN1589=21,I1589,0)</f>
        <v>0</v>
      </c>
      <c r="AN1589" s="34">
        <v>21</v>
      </c>
      <c r="AO1589" s="34">
        <f>H1589*0.879287377</f>
        <v>0</v>
      </c>
      <c r="AP1589" s="34">
        <f>H1589*(1-0.879287377)</f>
        <v>0</v>
      </c>
      <c r="AQ1589" s="65" t="s">
        <v>129</v>
      </c>
      <c r="AV1589" s="34">
        <f>ROUND(AW1589+AX1589,2)</f>
        <v>0</v>
      </c>
      <c r="AW1589" s="34">
        <f>ROUND(G1589*AO1589,2)</f>
        <v>0</v>
      </c>
      <c r="AX1589" s="34">
        <f>ROUND(G1589*AP1589,2)</f>
        <v>0</v>
      </c>
      <c r="AY1589" s="65" t="s">
        <v>2901</v>
      </c>
      <c r="AZ1589" s="65" t="s">
        <v>2876</v>
      </c>
      <c r="BA1589" s="46" t="s">
        <v>2557</v>
      </c>
      <c r="BC1589" s="34">
        <f>AW1589+AX1589</f>
        <v>0</v>
      </c>
      <c r="BD1589" s="34">
        <f>H1589/(100-BE1589)*100</f>
        <v>0</v>
      </c>
      <c r="BE1589" s="34">
        <v>0</v>
      </c>
      <c r="BF1589" s="34">
        <f>1589</f>
        <v>1589</v>
      </c>
      <c r="BH1589" s="34">
        <f>G1589*AO1589</f>
        <v>0</v>
      </c>
      <c r="BI1589" s="34">
        <f>G1589*AP1589</f>
        <v>0</v>
      </c>
      <c r="BJ1589" s="34">
        <f>G1589*H1589</f>
        <v>0</v>
      </c>
      <c r="BK1589" s="34"/>
      <c r="BL1589" s="34">
        <v>89</v>
      </c>
      <c r="BW1589" s="34">
        <v>21</v>
      </c>
      <c r="BX1589" s="3" t="s">
        <v>2900</v>
      </c>
    </row>
    <row r="1590" spans="1:76" ht="13.5" customHeight="1" x14ac:dyDescent="0.25">
      <c r="A1590" s="66"/>
      <c r="C1590" s="69" t="s">
        <v>204</v>
      </c>
      <c r="D1590" s="169" t="s">
        <v>2902</v>
      </c>
      <c r="E1590" s="170"/>
      <c r="F1590" s="170"/>
      <c r="G1590" s="170"/>
      <c r="H1590" s="171"/>
      <c r="I1590" s="170"/>
      <c r="J1590" s="170"/>
      <c r="K1590" s="172"/>
    </row>
    <row r="1591" spans="1:76" x14ac:dyDescent="0.25">
      <c r="A1591" s="66"/>
      <c r="D1591" s="67" t="s">
        <v>140</v>
      </c>
      <c r="E1591" s="67" t="s">
        <v>4</v>
      </c>
      <c r="G1591" s="68">
        <v>2</v>
      </c>
      <c r="K1591" s="59"/>
    </row>
    <row r="1592" spans="1:76" x14ac:dyDescent="0.25">
      <c r="A1592" s="60" t="s">
        <v>4</v>
      </c>
      <c r="B1592" s="61" t="s">
        <v>93</v>
      </c>
      <c r="C1592" s="61" t="s">
        <v>825</v>
      </c>
      <c r="D1592" s="167" t="s">
        <v>1783</v>
      </c>
      <c r="E1592" s="168"/>
      <c r="F1592" s="62" t="s">
        <v>79</v>
      </c>
      <c r="G1592" s="62" t="s">
        <v>79</v>
      </c>
      <c r="H1592" s="63" t="s">
        <v>79</v>
      </c>
      <c r="I1592" s="39">
        <f>SUM(I1593:I1602)</f>
        <v>0</v>
      </c>
      <c r="J1592" s="46" t="s">
        <v>4</v>
      </c>
      <c r="K1592" s="59"/>
      <c r="AI1592" s="46" t="s">
        <v>93</v>
      </c>
      <c r="AS1592" s="39">
        <f>SUM(AJ1593:AJ1602)</f>
        <v>0</v>
      </c>
      <c r="AT1592" s="39">
        <f>SUM(AK1593:AK1602)</f>
        <v>0</v>
      </c>
      <c r="AU1592" s="39">
        <f>SUM(AL1593:AL1602)</f>
        <v>0</v>
      </c>
    </row>
    <row r="1593" spans="1:76" x14ac:dyDescent="0.25">
      <c r="A1593" s="1" t="s">
        <v>2903</v>
      </c>
      <c r="B1593" s="2" t="s">
        <v>93</v>
      </c>
      <c r="C1593" s="2" t="s">
        <v>2904</v>
      </c>
      <c r="D1593" s="86" t="s">
        <v>2905</v>
      </c>
      <c r="E1593" s="81"/>
      <c r="F1593" s="2" t="s">
        <v>239</v>
      </c>
      <c r="G1593" s="34">
        <v>12</v>
      </c>
      <c r="H1593" s="64">
        <v>0</v>
      </c>
      <c r="I1593" s="34">
        <f>ROUND(G1593*H1593,2)</f>
        <v>0</v>
      </c>
      <c r="J1593" s="65" t="s">
        <v>133</v>
      </c>
      <c r="K1593" s="59"/>
      <c r="Z1593" s="34">
        <f>ROUND(IF(AQ1593="5",BJ1593,0),2)</f>
        <v>0</v>
      </c>
      <c r="AB1593" s="34">
        <f>ROUND(IF(AQ1593="1",BH1593,0),2)</f>
        <v>0</v>
      </c>
      <c r="AC1593" s="34">
        <f>ROUND(IF(AQ1593="1",BI1593,0),2)</f>
        <v>0</v>
      </c>
      <c r="AD1593" s="34">
        <f>ROUND(IF(AQ1593="7",BH1593,0),2)</f>
        <v>0</v>
      </c>
      <c r="AE1593" s="34">
        <f>ROUND(IF(AQ1593="7",BI1593,0),2)</f>
        <v>0</v>
      </c>
      <c r="AF1593" s="34">
        <f>ROUND(IF(AQ1593="2",BH1593,0),2)</f>
        <v>0</v>
      </c>
      <c r="AG1593" s="34">
        <f>ROUND(IF(AQ1593="2",BI1593,0),2)</f>
        <v>0</v>
      </c>
      <c r="AH1593" s="34">
        <f>ROUND(IF(AQ1593="0",BJ1593,0),2)</f>
        <v>0</v>
      </c>
      <c r="AI1593" s="46" t="s">
        <v>93</v>
      </c>
      <c r="AJ1593" s="34">
        <f>IF(AN1593=0,I1593,0)</f>
        <v>0</v>
      </c>
      <c r="AK1593" s="34">
        <f>IF(AN1593=12,I1593,0)</f>
        <v>0</v>
      </c>
      <c r="AL1593" s="34">
        <f>IF(AN1593=21,I1593,0)</f>
        <v>0</v>
      </c>
      <c r="AN1593" s="34">
        <v>21</v>
      </c>
      <c r="AO1593" s="34">
        <f>H1593*0.044087376</f>
        <v>0</v>
      </c>
      <c r="AP1593" s="34">
        <f>H1593*(1-0.044087376)</f>
        <v>0</v>
      </c>
      <c r="AQ1593" s="65" t="s">
        <v>129</v>
      </c>
      <c r="AV1593" s="34">
        <f>ROUND(AW1593+AX1593,2)</f>
        <v>0</v>
      </c>
      <c r="AW1593" s="34">
        <f>ROUND(G1593*AO1593,2)</f>
        <v>0</v>
      </c>
      <c r="AX1593" s="34">
        <f>ROUND(G1593*AP1593,2)</f>
        <v>0</v>
      </c>
      <c r="AY1593" s="65" t="s">
        <v>1787</v>
      </c>
      <c r="AZ1593" s="65" t="s">
        <v>2906</v>
      </c>
      <c r="BA1593" s="46" t="s">
        <v>2557</v>
      </c>
      <c r="BC1593" s="34">
        <f>AW1593+AX1593</f>
        <v>0</v>
      </c>
      <c r="BD1593" s="34">
        <f>H1593/(100-BE1593)*100</f>
        <v>0</v>
      </c>
      <c r="BE1593" s="34">
        <v>0</v>
      </c>
      <c r="BF1593" s="34">
        <f>1593</f>
        <v>1593</v>
      </c>
      <c r="BH1593" s="34">
        <f>G1593*AO1593</f>
        <v>0</v>
      </c>
      <c r="BI1593" s="34">
        <f>G1593*AP1593</f>
        <v>0</v>
      </c>
      <c r="BJ1593" s="34">
        <f>G1593*H1593</f>
        <v>0</v>
      </c>
      <c r="BK1593" s="34"/>
      <c r="BL1593" s="34">
        <v>97</v>
      </c>
      <c r="BW1593" s="34">
        <v>21</v>
      </c>
      <c r="BX1593" s="3" t="s">
        <v>2905</v>
      </c>
    </row>
    <row r="1594" spans="1:76" x14ac:dyDescent="0.25">
      <c r="A1594" s="66"/>
      <c r="D1594" s="67" t="s">
        <v>138</v>
      </c>
      <c r="E1594" s="67" t="s">
        <v>4</v>
      </c>
      <c r="G1594" s="68">
        <v>12</v>
      </c>
      <c r="K1594" s="59"/>
    </row>
    <row r="1595" spans="1:76" x14ac:dyDescent="0.25">
      <c r="A1595" s="1" t="s">
        <v>2907</v>
      </c>
      <c r="B1595" s="2" t="s">
        <v>93</v>
      </c>
      <c r="C1595" s="2" t="s">
        <v>2908</v>
      </c>
      <c r="D1595" s="86" t="s">
        <v>2909</v>
      </c>
      <c r="E1595" s="81"/>
      <c r="F1595" s="2" t="s">
        <v>239</v>
      </c>
      <c r="G1595" s="34">
        <v>65</v>
      </c>
      <c r="H1595" s="64">
        <v>0</v>
      </c>
      <c r="I1595" s="34">
        <f>ROUND(G1595*H1595,2)</f>
        <v>0</v>
      </c>
      <c r="J1595" s="65" t="s">
        <v>133</v>
      </c>
      <c r="K1595" s="59"/>
      <c r="Z1595" s="34">
        <f>ROUND(IF(AQ1595="5",BJ1595,0),2)</f>
        <v>0</v>
      </c>
      <c r="AB1595" s="34">
        <f>ROUND(IF(AQ1595="1",BH1595,0),2)</f>
        <v>0</v>
      </c>
      <c r="AC1595" s="34">
        <f>ROUND(IF(AQ1595="1",BI1595,0),2)</f>
        <v>0</v>
      </c>
      <c r="AD1595" s="34">
        <f>ROUND(IF(AQ1595="7",BH1595,0),2)</f>
        <v>0</v>
      </c>
      <c r="AE1595" s="34">
        <f>ROUND(IF(AQ1595="7",BI1595,0),2)</f>
        <v>0</v>
      </c>
      <c r="AF1595" s="34">
        <f>ROUND(IF(AQ1595="2",BH1595,0),2)</f>
        <v>0</v>
      </c>
      <c r="AG1595" s="34">
        <f>ROUND(IF(AQ1595="2",BI1595,0),2)</f>
        <v>0</v>
      </c>
      <c r="AH1595" s="34">
        <f>ROUND(IF(AQ1595="0",BJ1595,0),2)</f>
        <v>0</v>
      </c>
      <c r="AI1595" s="46" t="s">
        <v>93</v>
      </c>
      <c r="AJ1595" s="34">
        <f>IF(AN1595=0,I1595,0)</f>
        <v>0</v>
      </c>
      <c r="AK1595" s="34">
        <f>IF(AN1595=12,I1595,0)</f>
        <v>0</v>
      </c>
      <c r="AL1595" s="34">
        <f>IF(AN1595=21,I1595,0)</f>
        <v>0</v>
      </c>
      <c r="AN1595" s="34">
        <v>21</v>
      </c>
      <c r="AO1595" s="34">
        <f>H1595*0.081534091</f>
        <v>0</v>
      </c>
      <c r="AP1595" s="34">
        <f>H1595*(1-0.081534091)</f>
        <v>0</v>
      </c>
      <c r="AQ1595" s="65" t="s">
        <v>129</v>
      </c>
      <c r="AV1595" s="34">
        <f>ROUND(AW1595+AX1595,2)</f>
        <v>0</v>
      </c>
      <c r="AW1595" s="34">
        <f>ROUND(G1595*AO1595,2)</f>
        <v>0</v>
      </c>
      <c r="AX1595" s="34">
        <f>ROUND(G1595*AP1595,2)</f>
        <v>0</v>
      </c>
      <c r="AY1595" s="65" t="s">
        <v>1787</v>
      </c>
      <c r="AZ1595" s="65" t="s">
        <v>2906</v>
      </c>
      <c r="BA1595" s="46" t="s">
        <v>2557</v>
      </c>
      <c r="BC1595" s="34">
        <f>AW1595+AX1595</f>
        <v>0</v>
      </c>
      <c r="BD1595" s="34">
        <f>H1595/(100-BE1595)*100</f>
        <v>0</v>
      </c>
      <c r="BE1595" s="34">
        <v>0</v>
      </c>
      <c r="BF1595" s="34">
        <f>1595</f>
        <v>1595</v>
      </c>
      <c r="BH1595" s="34">
        <f>G1595*AO1595</f>
        <v>0</v>
      </c>
      <c r="BI1595" s="34">
        <f>G1595*AP1595</f>
        <v>0</v>
      </c>
      <c r="BJ1595" s="34">
        <f>G1595*H1595</f>
        <v>0</v>
      </c>
      <c r="BK1595" s="34"/>
      <c r="BL1595" s="34">
        <v>97</v>
      </c>
      <c r="BW1595" s="34">
        <v>21</v>
      </c>
      <c r="BX1595" s="3" t="s">
        <v>2909</v>
      </c>
    </row>
    <row r="1596" spans="1:76" x14ac:dyDescent="0.25">
      <c r="A1596" s="66"/>
      <c r="D1596" s="67" t="s">
        <v>2910</v>
      </c>
      <c r="E1596" s="67" t="s">
        <v>4</v>
      </c>
      <c r="G1596" s="68">
        <v>25</v>
      </c>
      <c r="K1596" s="59"/>
    </row>
    <row r="1597" spans="1:76" x14ac:dyDescent="0.25">
      <c r="A1597" s="66"/>
      <c r="D1597" s="67" t="s">
        <v>2911</v>
      </c>
      <c r="E1597" s="67" t="s">
        <v>4</v>
      </c>
      <c r="G1597" s="68">
        <v>40</v>
      </c>
      <c r="K1597" s="59"/>
    </row>
    <row r="1598" spans="1:76" x14ac:dyDescent="0.25">
      <c r="A1598" s="1" t="s">
        <v>2912</v>
      </c>
      <c r="B1598" s="2" t="s">
        <v>93</v>
      </c>
      <c r="C1598" s="2" t="s">
        <v>2913</v>
      </c>
      <c r="D1598" s="86" t="s">
        <v>2914</v>
      </c>
      <c r="E1598" s="81"/>
      <c r="F1598" s="2" t="s">
        <v>239</v>
      </c>
      <c r="G1598" s="34">
        <v>123</v>
      </c>
      <c r="H1598" s="64">
        <v>0</v>
      </c>
      <c r="I1598" s="34">
        <f>ROUND(G1598*H1598,2)</f>
        <v>0</v>
      </c>
      <c r="J1598" s="65" t="s">
        <v>133</v>
      </c>
      <c r="K1598" s="59"/>
      <c r="Z1598" s="34">
        <f>ROUND(IF(AQ1598="5",BJ1598,0),2)</f>
        <v>0</v>
      </c>
      <c r="AB1598" s="34">
        <f>ROUND(IF(AQ1598="1",BH1598,0),2)</f>
        <v>0</v>
      </c>
      <c r="AC1598" s="34">
        <f>ROUND(IF(AQ1598="1",BI1598,0),2)</f>
        <v>0</v>
      </c>
      <c r="AD1598" s="34">
        <f>ROUND(IF(AQ1598="7",BH1598,0),2)</f>
        <v>0</v>
      </c>
      <c r="AE1598" s="34">
        <f>ROUND(IF(AQ1598="7",BI1598,0),2)</f>
        <v>0</v>
      </c>
      <c r="AF1598" s="34">
        <f>ROUND(IF(AQ1598="2",BH1598,0),2)</f>
        <v>0</v>
      </c>
      <c r="AG1598" s="34">
        <f>ROUND(IF(AQ1598="2",BI1598,0),2)</f>
        <v>0</v>
      </c>
      <c r="AH1598" s="34">
        <f>ROUND(IF(AQ1598="0",BJ1598,0),2)</f>
        <v>0</v>
      </c>
      <c r="AI1598" s="46" t="s">
        <v>93</v>
      </c>
      <c r="AJ1598" s="34">
        <f>IF(AN1598=0,I1598,0)</f>
        <v>0</v>
      </c>
      <c r="AK1598" s="34">
        <f>IF(AN1598=12,I1598,0)</f>
        <v>0</v>
      </c>
      <c r="AL1598" s="34">
        <f>IF(AN1598=21,I1598,0)</f>
        <v>0</v>
      </c>
      <c r="AN1598" s="34">
        <v>21</v>
      </c>
      <c r="AO1598" s="34">
        <f>H1598*0.108293714</f>
        <v>0</v>
      </c>
      <c r="AP1598" s="34">
        <f>H1598*(1-0.108293714)</f>
        <v>0</v>
      </c>
      <c r="AQ1598" s="65" t="s">
        <v>129</v>
      </c>
      <c r="AV1598" s="34">
        <f>ROUND(AW1598+AX1598,2)</f>
        <v>0</v>
      </c>
      <c r="AW1598" s="34">
        <f>ROUND(G1598*AO1598,2)</f>
        <v>0</v>
      </c>
      <c r="AX1598" s="34">
        <f>ROUND(G1598*AP1598,2)</f>
        <v>0</v>
      </c>
      <c r="AY1598" s="65" t="s">
        <v>1787</v>
      </c>
      <c r="AZ1598" s="65" t="s">
        <v>2906</v>
      </c>
      <c r="BA1598" s="46" t="s">
        <v>2557</v>
      </c>
      <c r="BC1598" s="34">
        <f>AW1598+AX1598</f>
        <v>0</v>
      </c>
      <c r="BD1598" s="34">
        <f>H1598/(100-BE1598)*100</f>
        <v>0</v>
      </c>
      <c r="BE1598" s="34">
        <v>0</v>
      </c>
      <c r="BF1598" s="34">
        <f>1598</f>
        <v>1598</v>
      </c>
      <c r="BH1598" s="34">
        <f>G1598*AO1598</f>
        <v>0</v>
      </c>
      <c r="BI1598" s="34">
        <f>G1598*AP1598</f>
        <v>0</v>
      </c>
      <c r="BJ1598" s="34">
        <f>G1598*H1598</f>
        <v>0</v>
      </c>
      <c r="BK1598" s="34"/>
      <c r="BL1598" s="34">
        <v>97</v>
      </c>
      <c r="BW1598" s="34">
        <v>21</v>
      </c>
      <c r="BX1598" s="3" t="s">
        <v>2914</v>
      </c>
    </row>
    <row r="1599" spans="1:76" x14ac:dyDescent="0.25">
      <c r="A1599" s="66"/>
      <c r="D1599" s="67" t="s">
        <v>2915</v>
      </c>
      <c r="E1599" s="67" t="s">
        <v>4</v>
      </c>
      <c r="G1599" s="68">
        <v>88</v>
      </c>
      <c r="K1599" s="59"/>
    </row>
    <row r="1600" spans="1:76" x14ac:dyDescent="0.25">
      <c r="A1600" s="66"/>
      <c r="D1600" s="67" t="s">
        <v>2916</v>
      </c>
      <c r="E1600" s="67" t="s">
        <v>4</v>
      </c>
      <c r="G1600" s="68">
        <v>25</v>
      </c>
      <c r="K1600" s="59"/>
    </row>
    <row r="1601" spans="1:76" x14ac:dyDescent="0.25">
      <c r="A1601" s="66"/>
      <c r="D1601" s="67" t="s">
        <v>198</v>
      </c>
      <c r="E1601" s="67" t="s">
        <v>4</v>
      </c>
      <c r="G1601" s="68">
        <v>10</v>
      </c>
      <c r="K1601" s="59"/>
    </row>
    <row r="1602" spans="1:76" x14ac:dyDescent="0.25">
      <c r="A1602" s="1" t="s">
        <v>2917</v>
      </c>
      <c r="B1602" s="2" t="s">
        <v>93</v>
      </c>
      <c r="C1602" s="2" t="s">
        <v>2365</v>
      </c>
      <c r="D1602" s="86" t="s">
        <v>2366</v>
      </c>
      <c r="E1602" s="81"/>
      <c r="F1602" s="2" t="s">
        <v>239</v>
      </c>
      <c r="G1602" s="34">
        <v>200</v>
      </c>
      <c r="H1602" s="64">
        <v>0</v>
      </c>
      <c r="I1602" s="34">
        <f>ROUND(G1602*H1602,2)</f>
        <v>0</v>
      </c>
      <c r="J1602" s="65" t="s">
        <v>133</v>
      </c>
      <c r="K1602" s="59"/>
      <c r="Z1602" s="34">
        <f>ROUND(IF(AQ1602="5",BJ1602,0),2)</f>
        <v>0</v>
      </c>
      <c r="AB1602" s="34">
        <f>ROUND(IF(AQ1602="1",BH1602,0),2)</f>
        <v>0</v>
      </c>
      <c r="AC1602" s="34">
        <f>ROUND(IF(AQ1602="1",BI1602,0),2)</f>
        <v>0</v>
      </c>
      <c r="AD1602" s="34">
        <f>ROUND(IF(AQ1602="7",BH1602,0),2)</f>
        <v>0</v>
      </c>
      <c r="AE1602" s="34">
        <f>ROUND(IF(AQ1602="7",BI1602,0),2)</f>
        <v>0</v>
      </c>
      <c r="AF1602" s="34">
        <f>ROUND(IF(AQ1602="2",BH1602,0),2)</f>
        <v>0</v>
      </c>
      <c r="AG1602" s="34">
        <f>ROUND(IF(AQ1602="2",BI1602,0),2)</f>
        <v>0</v>
      </c>
      <c r="AH1602" s="34">
        <f>ROUND(IF(AQ1602="0",BJ1602,0),2)</f>
        <v>0</v>
      </c>
      <c r="AI1602" s="46" t="s">
        <v>93</v>
      </c>
      <c r="AJ1602" s="34">
        <f>IF(AN1602=0,I1602,0)</f>
        <v>0</v>
      </c>
      <c r="AK1602" s="34">
        <f>IF(AN1602=12,I1602,0)</f>
        <v>0</v>
      </c>
      <c r="AL1602" s="34">
        <f>IF(AN1602=21,I1602,0)</f>
        <v>0</v>
      </c>
      <c r="AN1602" s="34">
        <v>21</v>
      </c>
      <c r="AO1602" s="34">
        <f>H1602*0.22574029</f>
        <v>0</v>
      </c>
      <c r="AP1602" s="34">
        <f>H1602*(1-0.22574029)</f>
        <v>0</v>
      </c>
      <c r="AQ1602" s="65" t="s">
        <v>140</v>
      </c>
      <c r="AV1602" s="34">
        <f>ROUND(AW1602+AX1602,2)</f>
        <v>0</v>
      </c>
      <c r="AW1602" s="34">
        <f>ROUND(G1602*AO1602,2)</f>
        <v>0</v>
      </c>
      <c r="AX1602" s="34">
        <f>ROUND(G1602*AP1602,2)</f>
        <v>0</v>
      </c>
      <c r="AY1602" s="65" t="s">
        <v>1787</v>
      </c>
      <c r="AZ1602" s="65" t="s">
        <v>2906</v>
      </c>
      <c r="BA1602" s="46" t="s">
        <v>2557</v>
      </c>
      <c r="BC1602" s="34">
        <f>AW1602+AX1602</f>
        <v>0</v>
      </c>
      <c r="BD1602" s="34">
        <f>H1602/(100-BE1602)*100</f>
        <v>0</v>
      </c>
      <c r="BE1602" s="34">
        <v>0</v>
      </c>
      <c r="BF1602" s="34">
        <f>1602</f>
        <v>1602</v>
      </c>
      <c r="BH1602" s="34">
        <f>G1602*AO1602</f>
        <v>0</v>
      </c>
      <c r="BI1602" s="34">
        <f>G1602*AP1602</f>
        <v>0</v>
      </c>
      <c r="BJ1602" s="34">
        <f>G1602*H1602</f>
        <v>0</v>
      </c>
      <c r="BK1602" s="34"/>
      <c r="BL1602" s="34">
        <v>97</v>
      </c>
      <c r="BW1602" s="34">
        <v>21</v>
      </c>
      <c r="BX1602" s="3" t="s">
        <v>2366</v>
      </c>
    </row>
    <row r="1603" spans="1:76" x14ac:dyDescent="0.25">
      <c r="A1603" s="66"/>
      <c r="D1603" s="67" t="s">
        <v>2918</v>
      </c>
      <c r="E1603" s="67" t="s">
        <v>4</v>
      </c>
      <c r="G1603" s="68">
        <v>200</v>
      </c>
      <c r="K1603" s="59"/>
    </row>
    <row r="1604" spans="1:76" x14ac:dyDescent="0.25">
      <c r="A1604" s="60" t="s">
        <v>4</v>
      </c>
      <c r="B1604" s="61" t="s">
        <v>93</v>
      </c>
      <c r="C1604" s="61" t="s">
        <v>2919</v>
      </c>
      <c r="D1604" s="167" t="s">
        <v>2920</v>
      </c>
      <c r="E1604" s="168"/>
      <c r="F1604" s="62" t="s">
        <v>79</v>
      </c>
      <c r="G1604" s="62" t="s">
        <v>79</v>
      </c>
      <c r="H1604" s="63" t="s">
        <v>79</v>
      </c>
      <c r="I1604" s="39">
        <f>SUM(I1605:I1605)</f>
        <v>0</v>
      </c>
      <c r="J1604" s="46" t="s">
        <v>4</v>
      </c>
      <c r="K1604" s="59"/>
      <c r="AI1604" s="46" t="s">
        <v>93</v>
      </c>
      <c r="AS1604" s="39">
        <f>SUM(AJ1605:AJ1605)</f>
        <v>0</v>
      </c>
      <c r="AT1604" s="39">
        <f>SUM(AK1605:AK1605)</f>
        <v>0</v>
      </c>
      <c r="AU1604" s="39">
        <f>SUM(AL1605:AL1605)</f>
        <v>0</v>
      </c>
    </row>
    <row r="1605" spans="1:76" x14ac:dyDescent="0.25">
      <c r="A1605" s="1" t="s">
        <v>2921</v>
      </c>
      <c r="B1605" s="2" t="s">
        <v>93</v>
      </c>
      <c r="C1605" s="2" t="s">
        <v>2922</v>
      </c>
      <c r="D1605" s="86" t="s">
        <v>2923</v>
      </c>
      <c r="E1605" s="81"/>
      <c r="F1605" s="2" t="s">
        <v>178</v>
      </c>
      <c r="G1605" s="34">
        <v>0.32618999999999998</v>
      </c>
      <c r="H1605" s="64">
        <v>0</v>
      </c>
      <c r="I1605" s="34">
        <f>ROUND(G1605*H1605,2)</f>
        <v>0</v>
      </c>
      <c r="J1605" s="65" t="s">
        <v>133</v>
      </c>
      <c r="K1605" s="59"/>
      <c r="Z1605" s="34">
        <f>ROUND(IF(AQ1605="5",BJ1605,0),2)</f>
        <v>0</v>
      </c>
      <c r="AB1605" s="34">
        <f>ROUND(IF(AQ1605="1",BH1605,0),2)</f>
        <v>0</v>
      </c>
      <c r="AC1605" s="34">
        <f>ROUND(IF(AQ1605="1",BI1605,0),2)</f>
        <v>0</v>
      </c>
      <c r="AD1605" s="34">
        <f>ROUND(IF(AQ1605="7",BH1605,0),2)</f>
        <v>0</v>
      </c>
      <c r="AE1605" s="34">
        <f>ROUND(IF(AQ1605="7",BI1605,0),2)</f>
        <v>0</v>
      </c>
      <c r="AF1605" s="34">
        <f>ROUND(IF(AQ1605="2",BH1605,0),2)</f>
        <v>0</v>
      </c>
      <c r="AG1605" s="34">
        <f>ROUND(IF(AQ1605="2",BI1605,0),2)</f>
        <v>0</v>
      </c>
      <c r="AH1605" s="34">
        <f>ROUND(IF(AQ1605="0",BJ1605,0),2)</f>
        <v>0</v>
      </c>
      <c r="AI1605" s="46" t="s">
        <v>93</v>
      </c>
      <c r="AJ1605" s="34">
        <f>IF(AN1605=0,I1605,0)</f>
        <v>0</v>
      </c>
      <c r="AK1605" s="34">
        <f>IF(AN1605=12,I1605,0)</f>
        <v>0</v>
      </c>
      <c r="AL1605" s="34">
        <f>IF(AN1605=21,I1605,0)</f>
        <v>0</v>
      </c>
      <c r="AN1605" s="34">
        <v>21</v>
      </c>
      <c r="AO1605" s="34">
        <f>H1605*0</f>
        <v>0</v>
      </c>
      <c r="AP1605" s="34">
        <f>H1605*(1-0)</f>
        <v>0</v>
      </c>
      <c r="AQ1605" s="65" t="s">
        <v>166</v>
      </c>
      <c r="AV1605" s="34">
        <f>ROUND(AW1605+AX1605,2)</f>
        <v>0</v>
      </c>
      <c r="AW1605" s="34">
        <f>ROUND(G1605*AO1605,2)</f>
        <v>0</v>
      </c>
      <c r="AX1605" s="34">
        <f>ROUND(G1605*AP1605,2)</f>
        <v>0</v>
      </c>
      <c r="AY1605" s="65" t="s">
        <v>2924</v>
      </c>
      <c r="AZ1605" s="65" t="s">
        <v>2906</v>
      </c>
      <c r="BA1605" s="46" t="s">
        <v>2557</v>
      </c>
      <c r="BC1605" s="34">
        <f>AW1605+AX1605</f>
        <v>0</v>
      </c>
      <c r="BD1605" s="34">
        <f>H1605/(100-BE1605)*100</f>
        <v>0</v>
      </c>
      <c r="BE1605" s="34">
        <v>0</v>
      </c>
      <c r="BF1605" s="34">
        <f>1605</f>
        <v>1605</v>
      </c>
      <c r="BH1605" s="34">
        <f>G1605*AO1605</f>
        <v>0</v>
      </c>
      <c r="BI1605" s="34">
        <f>G1605*AP1605</f>
        <v>0</v>
      </c>
      <c r="BJ1605" s="34">
        <f>G1605*H1605</f>
        <v>0</v>
      </c>
      <c r="BK1605" s="34"/>
      <c r="BL1605" s="34"/>
      <c r="BW1605" s="34">
        <v>21</v>
      </c>
      <c r="BX1605" s="3" t="s">
        <v>2923</v>
      </c>
    </row>
    <row r="1606" spans="1:76" x14ac:dyDescent="0.25">
      <c r="A1606" s="60" t="s">
        <v>4</v>
      </c>
      <c r="B1606" s="61" t="s">
        <v>93</v>
      </c>
      <c r="C1606" s="61" t="s">
        <v>2925</v>
      </c>
      <c r="D1606" s="167" t="s">
        <v>1053</v>
      </c>
      <c r="E1606" s="168"/>
      <c r="F1606" s="62" t="s">
        <v>79</v>
      </c>
      <c r="G1606" s="62" t="s">
        <v>79</v>
      </c>
      <c r="H1606" s="63" t="s">
        <v>79</v>
      </c>
      <c r="I1606" s="39">
        <f>SUM(I1607:I1607)</f>
        <v>0</v>
      </c>
      <c r="J1606" s="46" t="s">
        <v>4</v>
      </c>
      <c r="K1606" s="59"/>
      <c r="AI1606" s="46" t="s">
        <v>93</v>
      </c>
      <c r="AS1606" s="39">
        <f>SUM(AJ1607:AJ1607)</f>
        <v>0</v>
      </c>
      <c r="AT1606" s="39">
        <f>SUM(AK1607:AK1607)</f>
        <v>0</v>
      </c>
      <c r="AU1606" s="39">
        <f>SUM(AL1607:AL1607)</f>
        <v>0</v>
      </c>
    </row>
    <row r="1607" spans="1:76" x14ac:dyDescent="0.25">
      <c r="A1607" s="1" t="s">
        <v>2926</v>
      </c>
      <c r="B1607" s="2" t="s">
        <v>93</v>
      </c>
      <c r="C1607" s="2" t="s">
        <v>2927</v>
      </c>
      <c r="D1607" s="86" t="s">
        <v>2928</v>
      </c>
      <c r="E1607" s="81"/>
      <c r="F1607" s="2" t="s">
        <v>178</v>
      </c>
      <c r="G1607" s="34">
        <v>0.39088000000000001</v>
      </c>
      <c r="H1607" s="64">
        <v>0</v>
      </c>
      <c r="I1607" s="34">
        <f>ROUND(G1607*H1607,2)</f>
        <v>0</v>
      </c>
      <c r="J1607" s="65" t="s">
        <v>133</v>
      </c>
      <c r="K1607" s="59"/>
      <c r="Z1607" s="34">
        <f>ROUND(IF(AQ1607="5",BJ1607,0),2)</f>
        <v>0</v>
      </c>
      <c r="AB1607" s="34">
        <f>ROUND(IF(AQ1607="1",BH1607,0),2)</f>
        <v>0</v>
      </c>
      <c r="AC1607" s="34">
        <f>ROUND(IF(AQ1607="1",BI1607,0),2)</f>
        <v>0</v>
      </c>
      <c r="AD1607" s="34">
        <f>ROUND(IF(AQ1607="7",BH1607,0),2)</f>
        <v>0</v>
      </c>
      <c r="AE1607" s="34">
        <f>ROUND(IF(AQ1607="7",BI1607,0),2)</f>
        <v>0</v>
      </c>
      <c r="AF1607" s="34">
        <f>ROUND(IF(AQ1607="2",BH1607,0),2)</f>
        <v>0</v>
      </c>
      <c r="AG1607" s="34">
        <f>ROUND(IF(AQ1607="2",BI1607,0),2)</f>
        <v>0</v>
      </c>
      <c r="AH1607" s="34">
        <f>ROUND(IF(AQ1607="0",BJ1607,0),2)</f>
        <v>0</v>
      </c>
      <c r="AI1607" s="46" t="s">
        <v>93</v>
      </c>
      <c r="AJ1607" s="34">
        <f>IF(AN1607=0,I1607,0)</f>
        <v>0</v>
      </c>
      <c r="AK1607" s="34">
        <f>IF(AN1607=12,I1607,0)</f>
        <v>0</v>
      </c>
      <c r="AL1607" s="34">
        <f>IF(AN1607=21,I1607,0)</f>
        <v>0</v>
      </c>
      <c r="AN1607" s="34">
        <v>21</v>
      </c>
      <c r="AO1607" s="34">
        <f>H1607*0</f>
        <v>0</v>
      </c>
      <c r="AP1607" s="34">
        <f>H1607*(1-0)</f>
        <v>0</v>
      </c>
      <c r="AQ1607" s="65" t="s">
        <v>166</v>
      </c>
      <c r="AV1607" s="34">
        <f>ROUND(AW1607+AX1607,2)</f>
        <v>0</v>
      </c>
      <c r="AW1607" s="34">
        <f>ROUND(G1607*AO1607,2)</f>
        <v>0</v>
      </c>
      <c r="AX1607" s="34">
        <f>ROUND(G1607*AP1607,2)</f>
        <v>0</v>
      </c>
      <c r="AY1607" s="65" t="s">
        <v>2929</v>
      </c>
      <c r="AZ1607" s="65" t="s">
        <v>2906</v>
      </c>
      <c r="BA1607" s="46" t="s">
        <v>2557</v>
      </c>
      <c r="BC1607" s="34">
        <f>AW1607+AX1607</f>
        <v>0</v>
      </c>
      <c r="BD1607" s="34">
        <f>H1607/(100-BE1607)*100</f>
        <v>0</v>
      </c>
      <c r="BE1607" s="34">
        <v>0</v>
      </c>
      <c r="BF1607" s="34">
        <f>1607</f>
        <v>1607</v>
      </c>
      <c r="BH1607" s="34">
        <f>G1607*AO1607</f>
        <v>0</v>
      </c>
      <c r="BI1607" s="34">
        <f>G1607*AP1607</f>
        <v>0</v>
      </c>
      <c r="BJ1607" s="34">
        <f>G1607*H1607</f>
        <v>0</v>
      </c>
      <c r="BK1607" s="34"/>
      <c r="BL1607" s="34"/>
      <c r="BW1607" s="34">
        <v>21</v>
      </c>
      <c r="BX1607" s="3" t="s">
        <v>2928</v>
      </c>
    </row>
    <row r="1608" spans="1:76" x14ac:dyDescent="0.25">
      <c r="A1608" s="60" t="s">
        <v>4</v>
      </c>
      <c r="B1608" s="61" t="s">
        <v>93</v>
      </c>
      <c r="C1608" s="61" t="s">
        <v>2930</v>
      </c>
      <c r="D1608" s="167" t="s">
        <v>1061</v>
      </c>
      <c r="E1608" s="168"/>
      <c r="F1608" s="62" t="s">
        <v>79</v>
      </c>
      <c r="G1608" s="62" t="s">
        <v>79</v>
      </c>
      <c r="H1608" s="63" t="s">
        <v>79</v>
      </c>
      <c r="I1608" s="39">
        <f>SUM(I1609:I1609)</f>
        <v>0</v>
      </c>
      <c r="J1608" s="46" t="s">
        <v>4</v>
      </c>
      <c r="K1608" s="59"/>
      <c r="AI1608" s="46" t="s">
        <v>93</v>
      </c>
      <c r="AS1608" s="39">
        <f>SUM(AJ1609:AJ1609)</f>
        <v>0</v>
      </c>
      <c r="AT1608" s="39">
        <f>SUM(AK1609:AK1609)</f>
        <v>0</v>
      </c>
      <c r="AU1608" s="39">
        <f>SUM(AL1609:AL1609)</f>
        <v>0</v>
      </c>
    </row>
    <row r="1609" spans="1:76" x14ac:dyDescent="0.25">
      <c r="A1609" s="1" t="s">
        <v>2931</v>
      </c>
      <c r="B1609" s="2" t="s">
        <v>93</v>
      </c>
      <c r="C1609" s="2" t="s">
        <v>2932</v>
      </c>
      <c r="D1609" s="86" t="s">
        <v>2933</v>
      </c>
      <c r="E1609" s="81"/>
      <c r="F1609" s="2" t="s">
        <v>178</v>
      </c>
      <c r="G1609" s="34">
        <v>1.20844</v>
      </c>
      <c r="H1609" s="64">
        <v>0</v>
      </c>
      <c r="I1609" s="34">
        <f>ROUND(G1609*H1609,2)</f>
        <v>0</v>
      </c>
      <c r="J1609" s="65" t="s">
        <v>133</v>
      </c>
      <c r="K1609" s="59"/>
      <c r="Z1609" s="34">
        <f>ROUND(IF(AQ1609="5",BJ1609,0),2)</f>
        <v>0</v>
      </c>
      <c r="AB1609" s="34">
        <f>ROUND(IF(AQ1609="1",BH1609,0),2)</f>
        <v>0</v>
      </c>
      <c r="AC1609" s="34">
        <f>ROUND(IF(AQ1609="1",BI1609,0),2)</f>
        <v>0</v>
      </c>
      <c r="AD1609" s="34">
        <f>ROUND(IF(AQ1609="7",BH1609,0),2)</f>
        <v>0</v>
      </c>
      <c r="AE1609" s="34">
        <f>ROUND(IF(AQ1609="7",BI1609,0),2)</f>
        <v>0</v>
      </c>
      <c r="AF1609" s="34">
        <f>ROUND(IF(AQ1609="2",BH1609,0),2)</f>
        <v>0</v>
      </c>
      <c r="AG1609" s="34">
        <f>ROUND(IF(AQ1609="2",BI1609,0),2)</f>
        <v>0</v>
      </c>
      <c r="AH1609" s="34">
        <f>ROUND(IF(AQ1609="0",BJ1609,0),2)</f>
        <v>0</v>
      </c>
      <c r="AI1609" s="46" t="s">
        <v>93</v>
      </c>
      <c r="AJ1609" s="34">
        <f>IF(AN1609=0,I1609,0)</f>
        <v>0</v>
      </c>
      <c r="AK1609" s="34">
        <f>IF(AN1609=12,I1609,0)</f>
        <v>0</v>
      </c>
      <c r="AL1609" s="34">
        <f>IF(AN1609=21,I1609,0)</f>
        <v>0</v>
      </c>
      <c r="AN1609" s="34">
        <v>21</v>
      </c>
      <c r="AO1609" s="34">
        <f>H1609*0</f>
        <v>0</v>
      </c>
      <c r="AP1609" s="34">
        <f>H1609*(1-0)</f>
        <v>0</v>
      </c>
      <c r="AQ1609" s="65" t="s">
        <v>166</v>
      </c>
      <c r="AV1609" s="34">
        <f>ROUND(AW1609+AX1609,2)</f>
        <v>0</v>
      </c>
      <c r="AW1609" s="34">
        <f>ROUND(G1609*AO1609,2)</f>
        <v>0</v>
      </c>
      <c r="AX1609" s="34">
        <f>ROUND(G1609*AP1609,2)</f>
        <v>0</v>
      </c>
      <c r="AY1609" s="65" t="s">
        <v>2934</v>
      </c>
      <c r="AZ1609" s="65" t="s">
        <v>2906</v>
      </c>
      <c r="BA1609" s="46" t="s">
        <v>2557</v>
      </c>
      <c r="BC1609" s="34">
        <f>AW1609+AX1609</f>
        <v>0</v>
      </c>
      <c r="BD1609" s="34">
        <f>H1609/(100-BE1609)*100</f>
        <v>0</v>
      </c>
      <c r="BE1609" s="34">
        <v>0</v>
      </c>
      <c r="BF1609" s="34">
        <f>1609</f>
        <v>1609</v>
      </c>
      <c r="BH1609" s="34">
        <f>G1609*AO1609</f>
        <v>0</v>
      </c>
      <c r="BI1609" s="34">
        <f>G1609*AP1609</f>
        <v>0</v>
      </c>
      <c r="BJ1609" s="34">
        <f>G1609*H1609</f>
        <v>0</v>
      </c>
      <c r="BK1609" s="34"/>
      <c r="BL1609" s="34"/>
      <c r="BW1609" s="34">
        <v>21</v>
      </c>
      <c r="BX1609" s="3" t="s">
        <v>2933</v>
      </c>
    </row>
    <row r="1610" spans="1:76" x14ac:dyDescent="0.25">
      <c r="A1610" s="60" t="s">
        <v>4</v>
      </c>
      <c r="B1610" s="61" t="s">
        <v>93</v>
      </c>
      <c r="C1610" s="61" t="s">
        <v>2935</v>
      </c>
      <c r="D1610" s="167" t="s">
        <v>2936</v>
      </c>
      <c r="E1610" s="168"/>
      <c r="F1610" s="62" t="s">
        <v>79</v>
      </c>
      <c r="G1610" s="62" t="s">
        <v>79</v>
      </c>
      <c r="H1610" s="63" t="s">
        <v>79</v>
      </c>
      <c r="I1610" s="39">
        <f>SUM(I1611:I1611)</f>
        <v>0</v>
      </c>
      <c r="J1610" s="46" t="s">
        <v>4</v>
      </c>
      <c r="K1610" s="59"/>
      <c r="AI1610" s="46" t="s">
        <v>93</v>
      </c>
      <c r="AS1610" s="39">
        <f>SUM(AJ1611:AJ1611)</f>
        <v>0</v>
      </c>
      <c r="AT1610" s="39">
        <f>SUM(AK1611:AK1611)</f>
        <v>0</v>
      </c>
      <c r="AU1610" s="39">
        <f>SUM(AL1611:AL1611)</f>
        <v>0</v>
      </c>
    </row>
    <row r="1611" spans="1:76" x14ac:dyDescent="0.25">
      <c r="A1611" s="1" t="s">
        <v>2937</v>
      </c>
      <c r="B1611" s="2" t="s">
        <v>93</v>
      </c>
      <c r="C1611" s="2" t="s">
        <v>2938</v>
      </c>
      <c r="D1611" s="86" t="s">
        <v>2939</v>
      </c>
      <c r="E1611" s="81"/>
      <c r="F1611" s="2" t="s">
        <v>239</v>
      </c>
      <c r="G1611" s="34">
        <v>262</v>
      </c>
      <c r="H1611" s="64">
        <v>0</v>
      </c>
      <c r="I1611" s="34">
        <f>ROUND(G1611*H1611,2)</f>
        <v>0</v>
      </c>
      <c r="J1611" s="65" t="s">
        <v>133</v>
      </c>
      <c r="K1611" s="59"/>
      <c r="Z1611" s="34">
        <f>ROUND(IF(AQ1611="5",BJ1611,0),2)</f>
        <v>0</v>
      </c>
      <c r="AB1611" s="34">
        <f>ROUND(IF(AQ1611="1",BH1611,0),2)</f>
        <v>0</v>
      </c>
      <c r="AC1611" s="34">
        <f>ROUND(IF(AQ1611="1",BI1611,0),2)</f>
        <v>0</v>
      </c>
      <c r="AD1611" s="34">
        <f>ROUND(IF(AQ1611="7",BH1611,0),2)</f>
        <v>0</v>
      </c>
      <c r="AE1611" s="34">
        <f>ROUND(IF(AQ1611="7",BI1611,0),2)</f>
        <v>0</v>
      </c>
      <c r="AF1611" s="34">
        <f>ROUND(IF(AQ1611="2",BH1611,0),2)</f>
        <v>0</v>
      </c>
      <c r="AG1611" s="34">
        <f>ROUND(IF(AQ1611="2",BI1611,0),2)</f>
        <v>0</v>
      </c>
      <c r="AH1611" s="34">
        <f>ROUND(IF(AQ1611="0",BJ1611,0),2)</f>
        <v>0</v>
      </c>
      <c r="AI1611" s="46" t="s">
        <v>93</v>
      </c>
      <c r="AJ1611" s="34">
        <f>IF(AN1611=0,I1611,0)</f>
        <v>0</v>
      </c>
      <c r="AK1611" s="34">
        <f>IF(AN1611=12,I1611,0)</f>
        <v>0</v>
      </c>
      <c r="AL1611" s="34">
        <f>IF(AN1611=21,I1611,0)</f>
        <v>0</v>
      </c>
      <c r="AN1611" s="34">
        <v>21</v>
      </c>
      <c r="AO1611" s="34">
        <f>H1611*0</f>
        <v>0</v>
      </c>
      <c r="AP1611" s="34">
        <f>H1611*(1-0)</f>
        <v>0</v>
      </c>
      <c r="AQ1611" s="65" t="s">
        <v>140</v>
      </c>
      <c r="AV1611" s="34">
        <f>ROUND(AW1611+AX1611,2)</f>
        <v>0</v>
      </c>
      <c r="AW1611" s="34">
        <f>ROUND(G1611*AO1611,2)</f>
        <v>0</v>
      </c>
      <c r="AX1611" s="34">
        <f>ROUND(G1611*AP1611,2)</f>
        <v>0</v>
      </c>
      <c r="AY1611" s="65" t="s">
        <v>2940</v>
      </c>
      <c r="AZ1611" s="65" t="s">
        <v>2906</v>
      </c>
      <c r="BA1611" s="46" t="s">
        <v>2557</v>
      </c>
      <c r="BC1611" s="34">
        <f>AW1611+AX1611</f>
        <v>0</v>
      </c>
      <c r="BD1611" s="34">
        <f>H1611/(100-BE1611)*100</f>
        <v>0</v>
      </c>
      <c r="BE1611" s="34">
        <v>0</v>
      </c>
      <c r="BF1611" s="34">
        <f>1611</f>
        <v>1611</v>
      </c>
      <c r="BH1611" s="34">
        <f>G1611*AO1611</f>
        <v>0</v>
      </c>
      <c r="BI1611" s="34">
        <f>G1611*AP1611</f>
        <v>0</v>
      </c>
      <c r="BJ1611" s="34">
        <f>G1611*H1611</f>
        <v>0</v>
      </c>
      <c r="BK1611" s="34"/>
      <c r="BL1611" s="34"/>
      <c r="BW1611" s="34">
        <v>21</v>
      </c>
      <c r="BX1611" s="3" t="s">
        <v>2939</v>
      </c>
    </row>
    <row r="1612" spans="1:76" x14ac:dyDescent="0.25">
      <c r="A1612" s="66"/>
      <c r="D1612" s="67" t="s">
        <v>1679</v>
      </c>
      <c r="E1612" s="67" t="s">
        <v>4</v>
      </c>
      <c r="G1612" s="68">
        <v>262</v>
      </c>
      <c r="K1612" s="59"/>
    </row>
    <row r="1613" spans="1:76" x14ac:dyDescent="0.25">
      <c r="A1613" s="60" t="s">
        <v>4</v>
      </c>
      <c r="B1613" s="61" t="s">
        <v>93</v>
      </c>
      <c r="C1613" s="61" t="s">
        <v>1826</v>
      </c>
      <c r="D1613" s="167" t="s">
        <v>1827</v>
      </c>
      <c r="E1613" s="168"/>
      <c r="F1613" s="62" t="s">
        <v>79</v>
      </c>
      <c r="G1613" s="62" t="s">
        <v>79</v>
      </c>
      <c r="H1613" s="63" t="s">
        <v>79</v>
      </c>
      <c r="I1613" s="39">
        <f>SUM(I1614:I1614)</f>
        <v>0</v>
      </c>
      <c r="J1613" s="46" t="s">
        <v>4</v>
      </c>
      <c r="K1613" s="59"/>
      <c r="AI1613" s="46" t="s">
        <v>93</v>
      </c>
      <c r="AS1613" s="39">
        <f>SUM(AJ1614:AJ1614)</f>
        <v>0</v>
      </c>
      <c r="AT1613" s="39">
        <f>SUM(AK1614:AK1614)</f>
        <v>0</v>
      </c>
      <c r="AU1613" s="39">
        <f>SUM(AL1614:AL1614)</f>
        <v>0</v>
      </c>
    </row>
    <row r="1614" spans="1:76" x14ac:dyDescent="0.25">
      <c r="A1614" s="1" t="s">
        <v>2941</v>
      </c>
      <c r="B1614" s="2" t="s">
        <v>93</v>
      </c>
      <c r="C1614" s="2" t="s">
        <v>2942</v>
      </c>
      <c r="D1614" s="86" t="s">
        <v>2943</v>
      </c>
      <c r="E1614" s="81"/>
      <c r="F1614" s="2" t="s">
        <v>239</v>
      </c>
      <c r="G1614" s="34">
        <v>22</v>
      </c>
      <c r="H1614" s="64">
        <v>0</v>
      </c>
      <c r="I1614" s="34">
        <f>ROUND(G1614*H1614,2)</f>
        <v>0</v>
      </c>
      <c r="J1614" s="65" t="s">
        <v>133</v>
      </c>
      <c r="K1614" s="59"/>
      <c r="Z1614" s="34">
        <f>ROUND(IF(AQ1614="5",BJ1614,0),2)</f>
        <v>0</v>
      </c>
      <c r="AB1614" s="34">
        <f>ROUND(IF(AQ1614="1",BH1614,0),2)</f>
        <v>0</v>
      </c>
      <c r="AC1614" s="34">
        <f>ROUND(IF(AQ1614="1",BI1614,0),2)</f>
        <v>0</v>
      </c>
      <c r="AD1614" s="34">
        <f>ROUND(IF(AQ1614="7",BH1614,0),2)</f>
        <v>0</v>
      </c>
      <c r="AE1614" s="34">
        <f>ROUND(IF(AQ1614="7",BI1614,0),2)</f>
        <v>0</v>
      </c>
      <c r="AF1614" s="34">
        <f>ROUND(IF(AQ1614="2",BH1614,0),2)</f>
        <v>0</v>
      </c>
      <c r="AG1614" s="34">
        <f>ROUND(IF(AQ1614="2",BI1614,0),2)</f>
        <v>0</v>
      </c>
      <c r="AH1614" s="34">
        <f>ROUND(IF(AQ1614="0",BJ1614,0),2)</f>
        <v>0</v>
      </c>
      <c r="AI1614" s="46" t="s">
        <v>93</v>
      </c>
      <c r="AJ1614" s="34">
        <f>IF(AN1614=0,I1614,0)</f>
        <v>0</v>
      </c>
      <c r="AK1614" s="34">
        <f>IF(AN1614=12,I1614,0)</f>
        <v>0</v>
      </c>
      <c r="AL1614" s="34">
        <f>IF(AN1614=21,I1614,0)</f>
        <v>0</v>
      </c>
      <c r="AN1614" s="34">
        <v>21</v>
      </c>
      <c r="AO1614" s="34">
        <f>H1614*0.400168848</f>
        <v>0</v>
      </c>
      <c r="AP1614" s="34">
        <f>H1614*(1-0.400168848)</f>
        <v>0</v>
      </c>
      <c r="AQ1614" s="65" t="s">
        <v>140</v>
      </c>
      <c r="AV1614" s="34">
        <f>ROUND(AW1614+AX1614,2)</f>
        <v>0</v>
      </c>
      <c r="AW1614" s="34">
        <f>ROUND(G1614*AO1614,2)</f>
        <v>0</v>
      </c>
      <c r="AX1614" s="34">
        <f>ROUND(G1614*AP1614,2)</f>
        <v>0</v>
      </c>
      <c r="AY1614" s="65" t="s">
        <v>1831</v>
      </c>
      <c r="AZ1614" s="65" t="s">
        <v>2906</v>
      </c>
      <c r="BA1614" s="46" t="s">
        <v>2557</v>
      </c>
      <c r="BC1614" s="34">
        <f>AW1614+AX1614</f>
        <v>0</v>
      </c>
      <c r="BD1614" s="34">
        <f>H1614/(100-BE1614)*100</f>
        <v>0</v>
      </c>
      <c r="BE1614" s="34">
        <v>0</v>
      </c>
      <c r="BF1614" s="34">
        <f>1614</f>
        <v>1614</v>
      </c>
      <c r="BH1614" s="34">
        <f>G1614*AO1614</f>
        <v>0</v>
      </c>
      <c r="BI1614" s="34">
        <f>G1614*AP1614</f>
        <v>0</v>
      </c>
      <c r="BJ1614" s="34">
        <f>G1614*H1614</f>
        <v>0</v>
      </c>
      <c r="BK1614" s="34"/>
      <c r="BL1614" s="34"/>
      <c r="BW1614" s="34">
        <v>21</v>
      </c>
      <c r="BX1614" s="3" t="s">
        <v>2943</v>
      </c>
    </row>
    <row r="1615" spans="1:76" x14ac:dyDescent="0.25">
      <c r="A1615" s="66"/>
      <c r="D1615" s="67" t="s">
        <v>279</v>
      </c>
      <c r="E1615" s="67" t="s">
        <v>4</v>
      </c>
      <c r="G1615" s="68">
        <v>22</v>
      </c>
      <c r="K1615" s="59"/>
    </row>
    <row r="1616" spans="1:76" x14ac:dyDescent="0.25">
      <c r="A1616" s="60" t="s">
        <v>4</v>
      </c>
      <c r="B1616" s="61" t="s">
        <v>93</v>
      </c>
      <c r="C1616" s="61" t="s">
        <v>1845</v>
      </c>
      <c r="D1616" s="167" t="s">
        <v>1846</v>
      </c>
      <c r="E1616" s="168"/>
      <c r="F1616" s="62" t="s">
        <v>79</v>
      </c>
      <c r="G1616" s="62" t="s">
        <v>79</v>
      </c>
      <c r="H1616" s="63" t="s">
        <v>79</v>
      </c>
      <c r="I1616" s="39">
        <f>SUM(I1617:I1621)</f>
        <v>0</v>
      </c>
      <c r="J1616" s="46" t="s">
        <v>4</v>
      </c>
      <c r="K1616" s="59"/>
      <c r="AI1616" s="46" t="s">
        <v>93</v>
      </c>
      <c r="AS1616" s="39">
        <f>SUM(AJ1617:AJ1621)</f>
        <v>0</v>
      </c>
      <c r="AT1616" s="39">
        <f>SUM(AK1617:AK1621)</f>
        <v>0</v>
      </c>
      <c r="AU1616" s="39">
        <f>SUM(AL1617:AL1621)</f>
        <v>0</v>
      </c>
    </row>
    <row r="1617" spans="1:76" x14ac:dyDescent="0.25">
      <c r="A1617" s="1" t="s">
        <v>2944</v>
      </c>
      <c r="B1617" s="2" t="s">
        <v>93</v>
      </c>
      <c r="C1617" s="2" t="s">
        <v>2945</v>
      </c>
      <c r="D1617" s="86" t="s">
        <v>2946</v>
      </c>
      <c r="E1617" s="81"/>
      <c r="F1617" s="2" t="s">
        <v>178</v>
      </c>
      <c r="G1617" s="34">
        <v>44.567999999999998</v>
      </c>
      <c r="H1617" s="64">
        <v>0</v>
      </c>
      <c r="I1617" s="34">
        <f>ROUND(G1617*H1617,2)</f>
        <v>0</v>
      </c>
      <c r="J1617" s="65" t="s">
        <v>133</v>
      </c>
      <c r="K1617" s="59"/>
      <c r="Z1617" s="34">
        <f>ROUND(IF(AQ1617="5",BJ1617,0),2)</f>
        <v>0</v>
      </c>
      <c r="AB1617" s="34">
        <f>ROUND(IF(AQ1617="1",BH1617,0),2)</f>
        <v>0</v>
      </c>
      <c r="AC1617" s="34">
        <f>ROUND(IF(AQ1617="1",BI1617,0),2)</f>
        <v>0</v>
      </c>
      <c r="AD1617" s="34">
        <f>ROUND(IF(AQ1617="7",BH1617,0),2)</f>
        <v>0</v>
      </c>
      <c r="AE1617" s="34">
        <f>ROUND(IF(AQ1617="7",BI1617,0),2)</f>
        <v>0</v>
      </c>
      <c r="AF1617" s="34">
        <f>ROUND(IF(AQ1617="2",BH1617,0),2)</f>
        <v>0</v>
      </c>
      <c r="AG1617" s="34">
        <f>ROUND(IF(AQ1617="2",BI1617,0),2)</f>
        <v>0</v>
      </c>
      <c r="AH1617" s="34">
        <f>ROUND(IF(AQ1617="0",BJ1617,0),2)</f>
        <v>0</v>
      </c>
      <c r="AI1617" s="46" t="s">
        <v>93</v>
      </c>
      <c r="AJ1617" s="34">
        <f>IF(AN1617=0,I1617,0)</f>
        <v>0</v>
      </c>
      <c r="AK1617" s="34">
        <f>IF(AN1617=12,I1617,0)</f>
        <v>0</v>
      </c>
      <c r="AL1617" s="34">
        <f>IF(AN1617=21,I1617,0)</f>
        <v>0</v>
      </c>
      <c r="AN1617" s="34">
        <v>21</v>
      </c>
      <c r="AO1617" s="34">
        <f>H1617*0</f>
        <v>0</v>
      </c>
      <c r="AP1617" s="34">
        <f>H1617*(1-0)</f>
        <v>0</v>
      </c>
      <c r="AQ1617" s="65" t="s">
        <v>166</v>
      </c>
      <c r="AV1617" s="34">
        <f>ROUND(AW1617+AX1617,2)</f>
        <v>0</v>
      </c>
      <c r="AW1617" s="34">
        <f>ROUND(G1617*AO1617,2)</f>
        <v>0</v>
      </c>
      <c r="AX1617" s="34">
        <f>ROUND(G1617*AP1617,2)</f>
        <v>0</v>
      </c>
      <c r="AY1617" s="65" t="s">
        <v>1850</v>
      </c>
      <c r="AZ1617" s="65" t="s">
        <v>2906</v>
      </c>
      <c r="BA1617" s="46" t="s">
        <v>2557</v>
      </c>
      <c r="BC1617" s="34">
        <f>AW1617+AX1617</f>
        <v>0</v>
      </c>
      <c r="BD1617" s="34">
        <f>H1617/(100-BE1617)*100</f>
        <v>0</v>
      </c>
      <c r="BE1617" s="34">
        <v>0</v>
      </c>
      <c r="BF1617" s="34">
        <f>1617</f>
        <v>1617</v>
      </c>
      <c r="BH1617" s="34">
        <f>G1617*AO1617</f>
        <v>0</v>
      </c>
      <c r="BI1617" s="34">
        <f>G1617*AP1617</f>
        <v>0</v>
      </c>
      <c r="BJ1617" s="34">
        <f>G1617*H1617</f>
        <v>0</v>
      </c>
      <c r="BK1617" s="34"/>
      <c r="BL1617" s="34"/>
      <c r="BW1617" s="34">
        <v>21</v>
      </c>
      <c r="BX1617" s="3" t="s">
        <v>2946</v>
      </c>
    </row>
    <row r="1618" spans="1:76" x14ac:dyDescent="0.25">
      <c r="A1618" s="66"/>
      <c r="D1618" s="67" t="s">
        <v>2604</v>
      </c>
      <c r="E1618" s="67" t="s">
        <v>4</v>
      </c>
      <c r="G1618" s="68">
        <v>44.567999999999998</v>
      </c>
      <c r="K1618" s="59"/>
    </row>
    <row r="1619" spans="1:76" x14ac:dyDescent="0.25">
      <c r="A1619" s="1" t="s">
        <v>2947</v>
      </c>
      <c r="B1619" s="2" t="s">
        <v>93</v>
      </c>
      <c r="C1619" s="2" t="s">
        <v>2948</v>
      </c>
      <c r="D1619" s="86" t="s">
        <v>2949</v>
      </c>
      <c r="E1619" s="81"/>
      <c r="F1619" s="2" t="s">
        <v>178</v>
      </c>
      <c r="G1619" s="34">
        <v>44.567999999999998</v>
      </c>
      <c r="H1619" s="64">
        <v>0</v>
      </c>
      <c r="I1619" s="34">
        <f>ROUND(G1619*H1619,2)</f>
        <v>0</v>
      </c>
      <c r="J1619" s="65" t="s">
        <v>133</v>
      </c>
      <c r="K1619" s="59"/>
      <c r="Z1619" s="34">
        <f>ROUND(IF(AQ1619="5",BJ1619,0),2)</f>
        <v>0</v>
      </c>
      <c r="AB1619" s="34">
        <f>ROUND(IF(AQ1619="1",BH1619,0),2)</f>
        <v>0</v>
      </c>
      <c r="AC1619" s="34">
        <f>ROUND(IF(AQ1619="1",BI1619,0),2)</f>
        <v>0</v>
      </c>
      <c r="AD1619" s="34">
        <f>ROUND(IF(AQ1619="7",BH1619,0),2)</f>
        <v>0</v>
      </c>
      <c r="AE1619" s="34">
        <f>ROUND(IF(AQ1619="7",BI1619,0),2)</f>
        <v>0</v>
      </c>
      <c r="AF1619" s="34">
        <f>ROUND(IF(AQ1619="2",BH1619,0),2)</f>
        <v>0</v>
      </c>
      <c r="AG1619" s="34">
        <f>ROUND(IF(AQ1619="2",BI1619,0),2)</f>
        <v>0</v>
      </c>
      <c r="AH1619" s="34">
        <f>ROUND(IF(AQ1619="0",BJ1619,0),2)</f>
        <v>0</v>
      </c>
      <c r="AI1619" s="46" t="s">
        <v>93</v>
      </c>
      <c r="AJ1619" s="34">
        <f>IF(AN1619=0,I1619,0)</f>
        <v>0</v>
      </c>
      <c r="AK1619" s="34">
        <f>IF(AN1619=12,I1619,0)</f>
        <v>0</v>
      </c>
      <c r="AL1619" s="34">
        <f>IF(AN1619=21,I1619,0)</f>
        <v>0</v>
      </c>
      <c r="AN1619" s="34">
        <v>21</v>
      </c>
      <c r="AO1619" s="34">
        <f>H1619*0</f>
        <v>0</v>
      </c>
      <c r="AP1619" s="34">
        <f>H1619*(1-0)</f>
        <v>0</v>
      </c>
      <c r="AQ1619" s="65" t="s">
        <v>166</v>
      </c>
      <c r="AV1619" s="34">
        <f>ROUND(AW1619+AX1619,2)</f>
        <v>0</v>
      </c>
      <c r="AW1619" s="34">
        <f>ROUND(G1619*AO1619,2)</f>
        <v>0</v>
      </c>
      <c r="AX1619" s="34">
        <f>ROUND(G1619*AP1619,2)</f>
        <v>0</v>
      </c>
      <c r="AY1619" s="65" t="s">
        <v>1850</v>
      </c>
      <c r="AZ1619" s="65" t="s">
        <v>2906</v>
      </c>
      <c r="BA1619" s="46" t="s">
        <v>2557</v>
      </c>
      <c r="BC1619" s="34">
        <f>AW1619+AX1619</f>
        <v>0</v>
      </c>
      <c r="BD1619" s="34">
        <f>H1619/(100-BE1619)*100</f>
        <v>0</v>
      </c>
      <c r="BE1619" s="34">
        <v>0</v>
      </c>
      <c r="BF1619" s="34">
        <f>1619</f>
        <v>1619</v>
      </c>
      <c r="BH1619" s="34">
        <f>G1619*AO1619</f>
        <v>0</v>
      </c>
      <c r="BI1619" s="34">
        <f>G1619*AP1619</f>
        <v>0</v>
      </c>
      <c r="BJ1619" s="34">
        <f>G1619*H1619</f>
        <v>0</v>
      </c>
      <c r="BK1619" s="34"/>
      <c r="BL1619" s="34"/>
      <c r="BW1619" s="34">
        <v>21</v>
      </c>
      <c r="BX1619" s="3" t="s">
        <v>2949</v>
      </c>
    </row>
    <row r="1620" spans="1:76" x14ac:dyDescent="0.25">
      <c r="A1620" s="66"/>
      <c r="D1620" s="67" t="s">
        <v>2950</v>
      </c>
      <c r="E1620" s="67" t="s">
        <v>4</v>
      </c>
      <c r="G1620" s="68">
        <v>44.567999999999998</v>
      </c>
      <c r="K1620" s="59"/>
    </row>
    <row r="1621" spans="1:76" x14ac:dyDescent="0.25">
      <c r="A1621" s="1" t="s">
        <v>2951</v>
      </c>
      <c r="B1621" s="2" t="s">
        <v>93</v>
      </c>
      <c r="C1621" s="2" t="s">
        <v>1870</v>
      </c>
      <c r="D1621" s="86" t="s">
        <v>1871</v>
      </c>
      <c r="E1621" s="81"/>
      <c r="F1621" s="2" t="s">
        <v>178</v>
      </c>
      <c r="G1621" s="34">
        <v>44.567999999999998</v>
      </c>
      <c r="H1621" s="64">
        <v>0</v>
      </c>
      <c r="I1621" s="34">
        <f>ROUND(G1621*H1621,2)</f>
        <v>0</v>
      </c>
      <c r="J1621" s="65" t="s">
        <v>133</v>
      </c>
      <c r="K1621" s="59"/>
      <c r="Z1621" s="34">
        <f>ROUND(IF(AQ1621="5",BJ1621,0),2)</f>
        <v>0</v>
      </c>
      <c r="AB1621" s="34">
        <f>ROUND(IF(AQ1621="1",BH1621,0),2)</f>
        <v>0</v>
      </c>
      <c r="AC1621" s="34">
        <f>ROUND(IF(AQ1621="1",BI1621,0),2)</f>
        <v>0</v>
      </c>
      <c r="AD1621" s="34">
        <f>ROUND(IF(AQ1621="7",BH1621,0),2)</f>
        <v>0</v>
      </c>
      <c r="AE1621" s="34">
        <f>ROUND(IF(AQ1621="7",BI1621,0),2)</f>
        <v>0</v>
      </c>
      <c r="AF1621" s="34">
        <f>ROUND(IF(AQ1621="2",BH1621,0),2)</f>
        <v>0</v>
      </c>
      <c r="AG1621" s="34">
        <f>ROUND(IF(AQ1621="2",BI1621,0),2)</f>
        <v>0</v>
      </c>
      <c r="AH1621" s="34">
        <f>ROUND(IF(AQ1621="0",BJ1621,0),2)</f>
        <v>0</v>
      </c>
      <c r="AI1621" s="46" t="s">
        <v>93</v>
      </c>
      <c r="AJ1621" s="34">
        <f>IF(AN1621=0,I1621,0)</f>
        <v>0</v>
      </c>
      <c r="AK1621" s="34">
        <f>IF(AN1621=12,I1621,0)</f>
        <v>0</v>
      </c>
      <c r="AL1621" s="34">
        <f>IF(AN1621=21,I1621,0)</f>
        <v>0</v>
      </c>
      <c r="AN1621" s="34">
        <v>21</v>
      </c>
      <c r="AO1621" s="34">
        <f>H1621*0</f>
        <v>0</v>
      </c>
      <c r="AP1621" s="34">
        <f>H1621*(1-0)</f>
        <v>0</v>
      </c>
      <c r="AQ1621" s="65" t="s">
        <v>166</v>
      </c>
      <c r="AV1621" s="34">
        <f>ROUND(AW1621+AX1621,2)</f>
        <v>0</v>
      </c>
      <c r="AW1621" s="34">
        <f>ROUND(G1621*AO1621,2)</f>
        <v>0</v>
      </c>
      <c r="AX1621" s="34">
        <f>ROUND(G1621*AP1621,2)</f>
        <v>0</v>
      </c>
      <c r="AY1621" s="65" t="s">
        <v>1850</v>
      </c>
      <c r="AZ1621" s="65" t="s">
        <v>2906</v>
      </c>
      <c r="BA1621" s="46" t="s">
        <v>2557</v>
      </c>
      <c r="BC1621" s="34">
        <f>AW1621+AX1621</f>
        <v>0</v>
      </c>
      <c r="BD1621" s="34">
        <f>H1621/(100-BE1621)*100</f>
        <v>0</v>
      </c>
      <c r="BE1621" s="34">
        <v>0</v>
      </c>
      <c r="BF1621" s="34">
        <f>1621</f>
        <v>1621</v>
      </c>
      <c r="BH1621" s="34">
        <f>G1621*AO1621</f>
        <v>0</v>
      </c>
      <c r="BI1621" s="34">
        <f>G1621*AP1621</f>
        <v>0</v>
      </c>
      <c r="BJ1621" s="34">
        <f>G1621*H1621</f>
        <v>0</v>
      </c>
      <c r="BK1621" s="34"/>
      <c r="BL1621" s="34"/>
      <c r="BW1621" s="34">
        <v>21</v>
      </c>
      <c r="BX1621" s="3" t="s">
        <v>1871</v>
      </c>
    </row>
    <row r="1622" spans="1:76" x14ac:dyDescent="0.25">
      <c r="A1622" s="66"/>
      <c r="D1622" s="67" t="s">
        <v>2950</v>
      </c>
      <c r="E1622" s="67" t="s">
        <v>4</v>
      </c>
      <c r="G1622" s="68">
        <v>44.567999999999998</v>
      </c>
      <c r="K1622" s="59"/>
    </row>
    <row r="1623" spans="1:76" x14ac:dyDescent="0.25">
      <c r="A1623" s="60" t="s">
        <v>4</v>
      </c>
      <c r="B1623" s="61" t="s">
        <v>93</v>
      </c>
      <c r="C1623" s="61" t="s">
        <v>2126</v>
      </c>
      <c r="D1623" s="167" t="s">
        <v>2127</v>
      </c>
      <c r="E1623" s="168"/>
      <c r="F1623" s="62" t="s">
        <v>79</v>
      </c>
      <c r="G1623" s="62" t="s">
        <v>79</v>
      </c>
      <c r="H1623" s="63" t="s">
        <v>79</v>
      </c>
      <c r="I1623" s="39">
        <f>SUM(I1624:I1624)</f>
        <v>0</v>
      </c>
      <c r="J1623" s="46" t="s">
        <v>4</v>
      </c>
      <c r="K1623" s="59"/>
      <c r="AI1623" s="46" t="s">
        <v>93</v>
      </c>
      <c r="AS1623" s="39">
        <f>SUM(AJ1624:AJ1624)</f>
        <v>0</v>
      </c>
      <c r="AT1623" s="39">
        <f>SUM(AK1624:AK1624)</f>
        <v>0</v>
      </c>
      <c r="AU1623" s="39">
        <f>SUM(AL1624:AL1624)</f>
        <v>0</v>
      </c>
    </row>
    <row r="1624" spans="1:76" x14ac:dyDescent="0.25">
      <c r="A1624" s="1" t="s">
        <v>2952</v>
      </c>
      <c r="B1624" s="2" t="s">
        <v>93</v>
      </c>
      <c r="C1624" s="2" t="s">
        <v>2953</v>
      </c>
      <c r="D1624" s="86" t="s">
        <v>2954</v>
      </c>
      <c r="E1624" s="81"/>
      <c r="F1624" s="2" t="s">
        <v>258</v>
      </c>
      <c r="G1624" s="34">
        <v>2</v>
      </c>
      <c r="H1624" s="64">
        <v>0</v>
      </c>
      <c r="I1624" s="34">
        <f>ROUND(G1624*H1624,2)</f>
        <v>0</v>
      </c>
      <c r="J1624" s="65" t="s">
        <v>133</v>
      </c>
      <c r="K1624" s="59"/>
      <c r="Z1624" s="34">
        <f>ROUND(IF(AQ1624="5",BJ1624,0),2)</f>
        <v>0</v>
      </c>
      <c r="AB1624" s="34">
        <f>ROUND(IF(AQ1624="1",BH1624,0),2)</f>
        <v>0</v>
      </c>
      <c r="AC1624" s="34">
        <f>ROUND(IF(AQ1624="1",BI1624,0),2)</f>
        <v>0</v>
      </c>
      <c r="AD1624" s="34">
        <f>ROUND(IF(AQ1624="7",BH1624,0),2)</f>
        <v>0</v>
      </c>
      <c r="AE1624" s="34">
        <f>ROUND(IF(AQ1624="7",BI1624,0),2)</f>
        <v>0</v>
      </c>
      <c r="AF1624" s="34">
        <f>ROUND(IF(AQ1624="2",BH1624,0),2)</f>
        <v>0</v>
      </c>
      <c r="AG1624" s="34">
        <f>ROUND(IF(AQ1624="2",BI1624,0),2)</f>
        <v>0</v>
      </c>
      <c r="AH1624" s="34">
        <f>ROUND(IF(AQ1624="0",BJ1624,0),2)</f>
        <v>0</v>
      </c>
      <c r="AI1624" s="46" t="s">
        <v>93</v>
      </c>
      <c r="AJ1624" s="34">
        <f>IF(AN1624=0,I1624,0)</f>
        <v>0</v>
      </c>
      <c r="AK1624" s="34">
        <f>IF(AN1624=12,I1624,0)</f>
        <v>0</v>
      </c>
      <c r="AL1624" s="34">
        <f>IF(AN1624=21,I1624,0)</f>
        <v>0</v>
      </c>
      <c r="AN1624" s="34">
        <v>21</v>
      </c>
      <c r="AO1624" s="34">
        <f>H1624*0.399713877</f>
        <v>0</v>
      </c>
      <c r="AP1624" s="34">
        <f>H1624*(1-0.399713877)</f>
        <v>0</v>
      </c>
      <c r="AQ1624" s="65" t="s">
        <v>175</v>
      </c>
      <c r="AV1624" s="34">
        <f>ROUND(AW1624+AX1624,2)</f>
        <v>0</v>
      </c>
      <c r="AW1624" s="34">
        <f>ROUND(G1624*AO1624,2)</f>
        <v>0</v>
      </c>
      <c r="AX1624" s="34">
        <f>ROUND(G1624*AP1624,2)</f>
        <v>0</v>
      </c>
      <c r="AY1624" s="65" t="s">
        <v>2131</v>
      </c>
      <c r="AZ1624" s="65" t="s">
        <v>2955</v>
      </c>
      <c r="BA1624" s="46" t="s">
        <v>2557</v>
      </c>
      <c r="BC1624" s="34">
        <f>AW1624+AX1624</f>
        <v>0</v>
      </c>
      <c r="BD1624" s="34">
        <f>H1624/(100-BE1624)*100</f>
        <v>0</v>
      </c>
      <c r="BE1624" s="34">
        <v>0</v>
      </c>
      <c r="BF1624" s="34">
        <f>1624</f>
        <v>1624</v>
      </c>
      <c r="BH1624" s="34">
        <f>G1624*AO1624</f>
        <v>0</v>
      </c>
      <c r="BI1624" s="34">
        <f>G1624*AP1624</f>
        <v>0</v>
      </c>
      <c r="BJ1624" s="34">
        <f>G1624*H1624</f>
        <v>0</v>
      </c>
      <c r="BK1624" s="34"/>
      <c r="BL1624" s="34">
        <v>733</v>
      </c>
      <c r="BW1624" s="34">
        <v>21</v>
      </c>
      <c r="BX1624" s="3" t="s">
        <v>2954</v>
      </c>
    </row>
    <row r="1625" spans="1:76" x14ac:dyDescent="0.25">
      <c r="A1625" s="66"/>
      <c r="D1625" s="67" t="s">
        <v>140</v>
      </c>
      <c r="E1625" s="67" t="s">
        <v>2956</v>
      </c>
      <c r="G1625" s="68">
        <v>2</v>
      </c>
      <c r="K1625" s="59"/>
    </row>
    <row r="1626" spans="1:76" x14ac:dyDescent="0.25">
      <c r="A1626" s="60" t="s">
        <v>4</v>
      </c>
      <c r="B1626" s="61" t="s">
        <v>93</v>
      </c>
      <c r="C1626" s="61" t="s">
        <v>2161</v>
      </c>
      <c r="D1626" s="167" t="s">
        <v>2162</v>
      </c>
      <c r="E1626" s="168"/>
      <c r="F1626" s="62" t="s">
        <v>79</v>
      </c>
      <c r="G1626" s="62" t="s">
        <v>79</v>
      </c>
      <c r="H1626" s="63" t="s">
        <v>79</v>
      </c>
      <c r="I1626" s="39">
        <f>SUM(I1627:I1637)</f>
        <v>0</v>
      </c>
      <c r="J1626" s="46" t="s">
        <v>4</v>
      </c>
      <c r="K1626" s="59"/>
      <c r="AI1626" s="46" t="s">
        <v>93</v>
      </c>
      <c r="AS1626" s="39">
        <f>SUM(AJ1627:AJ1637)</f>
        <v>0</v>
      </c>
      <c r="AT1626" s="39">
        <f>SUM(AK1627:AK1637)</f>
        <v>0</v>
      </c>
      <c r="AU1626" s="39">
        <f>SUM(AL1627:AL1637)</f>
        <v>0</v>
      </c>
    </row>
    <row r="1627" spans="1:76" x14ac:dyDescent="0.25">
      <c r="A1627" s="1" t="s">
        <v>2957</v>
      </c>
      <c r="B1627" s="2" t="s">
        <v>93</v>
      </c>
      <c r="C1627" s="2" t="s">
        <v>2958</v>
      </c>
      <c r="D1627" s="86" t="s">
        <v>2959</v>
      </c>
      <c r="E1627" s="81"/>
      <c r="F1627" s="2" t="s">
        <v>258</v>
      </c>
      <c r="G1627" s="34">
        <v>1</v>
      </c>
      <c r="H1627" s="64">
        <v>0</v>
      </c>
      <c r="I1627" s="34">
        <f>ROUND(G1627*H1627,2)</f>
        <v>0</v>
      </c>
      <c r="J1627" s="65" t="s">
        <v>133</v>
      </c>
      <c r="K1627" s="59"/>
      <c r="Z1627" s="34">
        <f>ROUND(IF(AQ1627="5",BJ1627,0),2)</f>
        <v>0</v>
      </c>
      <c r="AB1627" s="34">
        <f>ROUND(IF(AQ1627="1",BH1627,0),2)</f>
        <v>0</v>
      </c>
      <c r="AC1627" s="34">
        <f>ROUND(IF(AQ1627="1",BI1627,0),2)</f>
        <v>0</v>
      </c>
      <c r="AD1627" s="34">
        <f>ROUND(IF(AQ1627="7",BH1627,0),2)</f>
        <v>0</v>
      </c>
      <c r="AE1627" s="34">
        <f>ROUND(IF(AQ1627="7",BI1627,0),2)</f>
        <v>0</v>
      </c>
      <c r="AF1627" s="34">
        <f>ROUND(IF(AQ1627="2",BH1627,0),2)</f>
        <v>0</v>
      </c>
      <c r="AG1627" s="34">
        <f>ROUND(IF(AQ1627="2",BI1627,0),2)</f>
        <v>0</v>
      </c>
      <c r="AH1627" s="34">
        <f>ROUND(IF(AQ1627="0",BJ1627,0),2)</f>
        <v>0</v>
      </c>
      <c r="AI1627" s="46" t="s">
        <v>93</v>
      </c>
      <c r="AJ1627" s="34">
        <f>IF(AN1627=0,I1627,0)</f>
        <v>0</v>
      </c>
      <c r="AK1627" s="34">
        <f>IF(AN1627=12,I1627,0)</f>
        <v>0</v>
      </c>
      <c r="AL1627" s="34">
        <f>IF(AN1627=21,I1627,0)</f>
        <v>0</v>
      </c>
      <c r="AN1627" s="34">
        <v>21</v>
      </c>
      <c r="AO1627" s="34">
        <f>H1627*0.745265465</f>
        <v>0</v>
      </c>
      <c r="AP1627" s="34">
        <f>H1627*(1-0.745265465)</f>
        <v>0</v>
      </c>
      <c r="AQ1627" s="65" t="s">
        <v>175</v>
      </c>
      <c r="AV1627" s="34">
        <f>ROUND(AW1627+AX1627,2)</f>
        <v>0</v>
      </c>
      <c r="AW1627" s="34">
        <f>ROUND(G1627*AO1627,2)</f>
        <v>0</v>
      </c>
      <c r="AX1627" s="34">
        <f>ROUND(G1627*AP1627,2)</f>
        <v>0</v>
      </c>
      <c r="AY1627" s="65" t="s">
        <v>2166</v>
      </c>
      <c r="AZ1627" s="65" t="s">
        <v>2955</v>
      </c>
      <c r="BA1627" s="46" t="s">
        <v>2557</v>
      </c>
      <c r="BC1627" s="34">
        <f>AW1627+AX1627</f>
        <v>0</v>
      </c>
      <c r="BD1627" s="34">
        <f>H1627/(100-BE1627)*100</f>
        <v>0</v>
      </c>
      <c r="BE1627" s="34">
        <v>0</v>
      </c>
      <c r="BF1627" s="34">
        <f>1627</f>
        <v>1627</v>
      </c>
      <c r="BH1627" s="34">
        <f>G1627*AO1627</f>
        <v>0</v>
      </c>
      <c r="BI1627" s="34">
        <f>G1627*AP1627</f>
        <v>0</v>
      </c>
      <c r="BJ1627" s="34">
        <f>G1627*H1627</f>
        <v>0</v>
      </c>
      <c r="BK1627" s="34"/>
      <c r="BL1627" s="34">
        <v>734</v>
      </c>
      <c r="BW1627" s="34">
        <v>21</v>
      </c>
      <c r="BX1627" s="3" t="s">
        <v>2959</v>
      </c>
    </row>
    <row r="1628" spans="1:76" x14ac:dyDescent="0.25">
      <c r="A1628" s="66"/>
      <c r="D1628" s="67" t="s">
        <v>129</v>
      </c>
      <c r="E1628" s="67" t="s">
        <v>4</v>
      </c>
      <c r="G1628" s="68">
        <v>1</v>
      </c>
      <c r="K1628" s="59"/>
    </row>
    <row r="1629" spans="1:76" x14ac:dyDescent="0.25">
      <c r="A1629" s="1" t="s">
        <v>2960</v>
      </c>
      <c r="B1629" s="2" t="s">
        <v>93</v>
      </c>
      <c r="C1629" s="2" t="s">
        <v>2961</v>
      </c>
      <c r="D1629" s="86" t="s">
        <v>2962</v>
      </c>
      <c r="E1629" s="81"/>
      <c r="F1629" s="2" t="s">
        <v>258</v>
      </c>
      <c r="G1629" s="34">
        <v>11</v>
      </c>
      <c r="H1629" s="64">
        <v>0</v>
      </c>
      <c r="I1629" s="34">
        <f>ROUND(G1629*H1629,2)</f>
        <v>0</v>
      </c>
      <c r="J1629" s="65" t="s">
        <v>133</v>
      </c>
      <c r="K1629" s="59"/>
      <c r="Z1629" s="34">
        <f>ROUND(IF(AQ1629="5",BJ1629,0),2)</f>
        <v>0</v>
      </c>
      <c r="AB1629" s="34">
        <f>ROUND(IF(AQ1629="1",BH1629,0),2)</f>
        <v>0</v>
      </c>
      <c r="AC1629" s="34">
        <f>ROUND(IF(AQ1629="1",BI1629,0),2)</f>
        <v>0</v>
      </c>
      <c r="AD1629" s="34">
        <f>ROUND(IF(AQ1629="7",BH1629,0),2)</f>
        <v>0</v>
      </c>
      <c r="AE1629" s="34">
        <f>ROUND(IF(AQ1629="7",BI1629,0),2)</f>
        <v>0</v>
      </c>
      <c r="AF1629" s="34">
        <f>ROUND(IF(AQ1629="2",BH1629,0),2)</f>
        <v>0</v>
      </c>
      <c r="AG1629" s="34">
        <f>ROUND(IF(AQ1629="2",BI1629,0),2)</f>
        <v>0</v>
      </c>
      <c r="AH1629" s="34">
        <f>ROUND(IF(AQ1629="0",BJ1629,0),2)</f>
        <v>0</v>
      </c>
      <c r="AI1629" s="46" t="s">
        <v>93</v>
      </c>
      <c r="AJ1629" s="34">
        <f>IF(AN1629=0,I1629,0)</f>
        <v>0</v>
      </c>
      <c r="AK1629" s="34">
        <f>IF(AN1629=12,I1629,0)</f>
        <v>0</v>
      </c>
      <c r="AL1629" s="34">
        <f>IF(AN1629=21,I1629,0)</f>
        <v>0</v>
      </c>
      <c r="AN1629" s="34">
        <v>21</v>
      </c>
      <c r="AO1629" s="34">
        <f>H1629*0.692392086</f>
        <v>0</v>
      </c>
      <c r="AP1629" s="34">
        <f>H1629*(1-0.692392086)</f>
        <v>0</v>
      </c>
      <c r="AQ1629" s="65" t="s">
        <v>175</v>
      </c>
      <c r="AV1629" s="34">
        <f>ROUND(AW1629+AX1629,2)</f>
        <v>0</v>
      </c>
      <c r="AW1629" s="34">
        <f>ROUND(G1629*AO1629,2)</f>
        <v>0</v>
      </c>
      <c r="AX1629" s="34">
        <f>ROUND(G1629*AP1629,2)</f>
        <v>0</v>
      </c>
      <c r="AY1629" s="65" t="s">
        <v>2166</v>
      </c>
      <c r="AZ1629" s="65" t="s">
        <v>2955</v>
      </c>
      <c r="BA1629" s="46" t="s">
        <v>2557</v>
      </c>
      <c r="BC1629" s="34">
        <f>AW1629+AX1629</f>
        <v>0</v>
      </c>
      <c r="BD1629" s="34">
        <f>H1629/(100-BE1629)*100</f>
        <v>0</v>
      </c>
      <c r="BE1629" s="34">
        <v>0</v>
      </c>
      <c r="BF1629" s="34">
        <f>1629</f>
        <v>1629</v>
      </c>
      <c r="BH1629" s="34">
        <f>G1629*AO1629</f>
        <v>0</v>
      </c>
      <c r="BI1629" s="34">
        <f>G1629*AP1629</f>
        <v>0</v>
      </c>
      <c r="BJ1629" s="34">
        <f>G1629*H1629</f>
        <v>0</v>
      </c>
      <c r="BK1629" s="34"/>
      <c r="BL1629" s="34">
        <v>734</v>
      </c>
      <c r="BW1629" s="34">
        <v>21</v>
      </c>
      <c r="BX1629" s="3" t="s">
        <v>2962</v>
      </c>
    </row>
    <row r="1630" spans="1:76" x14ac:dyDescent="0.25">
      <c r="A1630" s="66"/>
      <c r="D1630" s="67" t="s">
        <v>127</v>
      </c>
      <c r="E1630" s="67" t="s">
        <v>4</v>
      </c>
      <c r="G1630" s="68">
        <v>11</v>
      </c>
      <c r="K1630" s="59"/>
    </row>
    <row r="1631" spans="1:76" x14ac:dyDescent="0.25">
      <c r="A1631" s="1" t="s">
        <v>2963</v>
      </c>
      <c r="B1631" s="2" t="s">
        <v>93</v>
      </c>
      <c r="C1631" s="2" t="s">
        <v>2964</v>
      </c>
      <c r="D1631" s="86" t="s">
        <v>2965</v>
      </c>
      <c r="E1631" s="81"/>
      <c r="F1631" s="2" t="s">
        <v>258</v>
      </c>
      <c r="G1631" s="34">
        <v>8</v>
      </c>
      <c r="H1631" s="64">
        <v>0</v>
      </c>
      <c r="I1631" s="34">
        <f>ROUND(G1631*H1631,2)</f>
        <v>0</v>
      </c>
      <c r="J1631" s="65" t="s">
        <v>133</v>
      </c>
      <c r="K1631" s="59"/>
      <c r="Z1631" s="34">
        <f>ROUND(IF(AQ1631="5",BJ1631,0),2)</f>
        <v>0</v>
      </c>
      <c r="AB1631" s="34">
        <f>ROUND(IF(AQ1631="1",BH1631,0),2)</f>
        <v>0</v>
      </c>
      <c r="AC1631" s="34">
        <f>ROUND(IF(AQ1631="1",BI1631,0),2)</f>
        <v>0</v>
      </c>
      <c r="AD1631" s="34">
        <f>ROUND(IF(AQ1631="7",BH1631,0),2)</f>
        <v>0</v>
      </c>
      <c r="AE1631" s="34">
        <f>ROUND(IF(AQ1631="7",BI1631,0),2)</f>
        <v>0</v>
      </c>
      <c r="AF1631" s="34">
        <f>ROUND(IF(AQ1631="2",BH1631,0),2)</f>
        <v>0</v>
      </c>
      <c r="AG1631" s="34">
        <f>ROUND(IF(AQ1631="2",BI1631,0),2)</f>
        <v>0</v>
      </c>
      <c r="AH1631" s="34">
        <f>ROUND(IF(AQ1631="0",BJ1631,0),2)</f>
        <v>0</v>
      </c>
      <c r="AI1631" s="46" t="s">
        <v>93</v>
      </c>
      <c r="AJ1631" s="34">
        <f>IF(AN1631=0,I1631,0)</f>
        <v>0</v>
      </c>
      <c r="AK1631" s="34">
        <f>IF(AN1631=12,I1631,0)</f>
        <v>0</v>
      </c>
      <c r="AL1631" s="34">
        <f>IF(AN1631=21,I1631,0)</f>
        <v>0</v>
      </c>
      <c r="AN1631" s="34">
        <v>21</v>
      </c>
      <c r="AO1631" s="34">
        <f>H1631*0.660423529</f>
        <v>0</v>
      </c>
      <c r="AP1631" s="34">
        <f>H1631*(1-0.660423529)</f>
        <v>0</v>
      </c>
      <c r="AQ1631" s="65" t="s">
        <v>175</v>
      </c>
      <c r="AV1631" s="34">
        <f>ROUND(AW1631+AX1631,2)</f>
        <v>0</v>
      </c>
      <c r="AW1631" s="34">
        <f>ROUND(G1631*AO1631,2)</f>
        <v>0</v>
      </c>
      <c r="AX1631" s="34">
        <f>ROUND(G1631*AP1631,2)</f>
        <v>0</v>
      </c>
      <c r="AY1631" s="65" t="s">
        <v>2166</v>
      </c>
      <c r="AZ1631" s="65" t="s">
        <v>2955</v>
      </c>
      <c r="BA1631" s="46" t="s">
        <v>2557</v>
      </c>
      <c r="BC1631" s="34">
        <f>AW1631+AX1631</f>
        <v>0</v>
      </c>
      <c r="BD1631" s="34">
        <f>H1631/(100-BE1631)*100</f>
        <v>0</v>
      </c>
      <c r="BE1631" s="34">
        <v>0</v>
      </c>
      <c r="BF1631" s="34">
        <f>1631</f>
        <v>1631</v>
      </c>
      <c r="BH1631" s="34">
        <f>G1631*AO1631</f>
        <v>0</v>
      </c>
      <c r="BI1631" s="34">
        <f>G1631*AP1631</f>
        <v>0</v>
      </c>
      <c r="BJ1631" s="34">
        <f>G1631*H1631</f>
        <v>0</v>
      </c>
      <c r="BK1631" s="34"/>
      <c r="BL1631" s="34">
        <v>734</v>
      </c>
      <c r="BW1631" s="34">
        <v>21</v>
      </c>
      <c r="BX1631" s="3" t="s">
        <v>2965</v>
      </c>
    </row>
    <row r="1632" spans="1:76" x14ac:dyDescent="0.25">
      <c r="A1632" s="66"/>
      <c r="D1632" s="67" t="s">
        <v>182</v>
      </c>
      <c r="E1632" s="67" t="s">
        <v>4</v>
      </c>
      <c r="G1632" s="68">
        <v>8</v>
      </c>
      <c r="K1632" s="59"/>
    </row>
    <row r="1633" spans="1:76" x14ac:dyDescent="0.25">
      <c r="A1633" s="1" t="s">
        <v>2966</v>
      </c>
      <c r="B1633" s="2" t="s">
        <v>93</v>
      </c>
      <c r="C1633" s="2" t="s">
        <v>2967</v>
      </c>
      <c r="D1633" s="86" t="s">
        <v>2968</v>
      </c>
      <c r="E1633" s="81"/>
      <c r="F1633" s="2" t="s">
        <v>258</v>
      </c>
      <c r="G1633" s="34">
        <v>4</v>
      </c>
      <c r="H1633" s="64">
        <v>0</v>
      </c>
      <c r="I1633" s="34">
        <f>ROUND(G1633*H1633,2)</f>
        <v>0</v>
      </c>
      <c r="J1633" s="65" t="s">
        <v>133</v>
      </c>
      <c r="K1633" s="59"/>
      <c r="Z1633" s="34">
        <f>ROUND(IF(AQ1633="5",BJ1633,0),2)</f>
        <v>0</v>
      </c>
      <c r="AB1633" s="34">
        <f>ROUND(IF(AQ1633="1",BH1633,0),2)</f>
        <v>0</v>
      </c>
      <c r="AC1633" s="34">
        <f>ROUND(IF(AQ1633="1",BI1633,0),2)</f>
        <v>0</v>
      </c>
      <c r="AD1633" s="34">
        <f>ROUND(IF(AQ1633="7",BH1633,0),2)</f>
        <v>0</v>
      </c>
      <c r="AE1633" s="34">
        <f>ROUND(IF(AQ1633="7",BI1633,0),2)</f>
        <v>0</v>
      </c>
      <c r="AF1633" s="34">
        <f>ROUND(IF(AQ1633="2",BH1633,0),2)</f>
        <v>0</v>
      </c>
      <c r="AG1633" s="34">
        <f>ROUND(IF(AQ1633="2",BI1633,0),2)</f>
        <v>0</v>
      </c>
      <c r="AH1633" s="34">
        <f>ROUND(IF(AQ1633="0",BJ1633,0),2)</f>
        <v>0</v>
      </c>
      <c r="AI1633" s="46" t="s">
        <v>93</v>
      </c>
      <c r="AJ1633" s="34">
        <f>IF(AN1633=0,I1633,0)</f>
        <v>0</v>
      </c>
      <c r="AK1633" s="34">
        <f>IF(AN1633=12,I1633,0)</f>
        <v>0</v>
      </c>
      <c r="AL1633" s="34">
        <f>IF(AN1633=21,I1633,0)</f>
        <v>0</v>
      </c>
      <c r="AN1633" s="34">
        <v>21</v>
      </c>
      <c r="AO1633" s="34">
        <f>H1633*0.878735902</f>
        <v>0</v>
      </c>
      <c r="AP1633" s="34">
        <f>H1633*(1-0.878735902)</f>
        <v>0</v>
      </c>
      <c r="AQ1633" s="65" t="s">
        <v>175</v>
      </c>
      <c r="AV1633" s="34">
        <f>ROUND(AW1633+AX1633,2)</f>
        <v>0</v>
      </c>
      <c r="AW1633" s="34">
        <f>ROUND(G1633*AO1633,2)</f>
        <v>0</v>
      </c>
      <c r="AX1633" s="34">
        <f>ROUND(G1633*AP1633,2)</f>
        <v>0</v>
      </c>
      <c r="AY1633" s="65" t="s">
        <v>2166</v>
      </c>
      <c r="AZ1633" s="65" t="s">
        <v>2955</v>
      </c>
      <c r="BA1633" s="46" t="s">
        <v>2557</v>
      </c>
      <c r="BC1633" s="34">
        <f>AW1633+AX1633</f>
        <v>0</v>
      </c>
      <c r="BD1633" s="34">
        <f>H1633/(100-BE1633)*100</f>
        <v>0</v>
      </c>
      <c r="BE1633" s="34">
        <v>0</v>
      </c>
      <c r="BF1633" s="34">
        <f>1633</f>
        <v>1633</v>
      </c>
      <c r="BH1633" s="34">
        <f>G1633*AO1633</f>
        <v>0</v>
      </c>
      <c r="BI1633" s="34">
        <f>G1633*AP1633</f>
        <v>0</v>
      </c>
      <c r="BJ1633" s="34">
        <f>G1633*H1633</f>
        <v>0</v>
      </c>
      <c r="BK1633" s="34"/>
      <c r="BL1633" s="34">
        <v>734</v>
      </c>
      <c r="BW1633" s="34">
        <v>21</v>
      </c>
      <c r="BX1633" s="3" t="s">
        <v>2968</v>
      </c>
    </row>
    <row r="1634" spans="1:76" x14ac:dyDescent="0.25">
      <c r="A1634" s="66"/>
      <c r="D1634" s="67" t="s">
        <v>161</v>
      </c>
      <c r="E1634" s="67" t="s">
        <v>4</v>
      </c>
      <c r="G1634" s="68">
        <v>4</v>
      </c>
      <c r="K1634" s="59"/>
    </row>
    <row r="1635" spans="1:76" x14ac:dyDescent="0.25">
      <c r="A1635" s="1" t="s">
        <v>2969</v>
      </c>
      <c r="B1635" s="2" t="s">
        <v>93</v>
      </c>
      <c r="C1635" s="2" t="s">
        <v>2970</v>
      </c>
      <c r="D1635" s="86" t="s">
        <v>2971</v>
      </c>
      <c r="E1635" s="81"/>
      <c r="F1635" s="2" t="s">
        <v>258</v>
      </c>
      <c r="G1635" s="34">
        <v>2</v>
      </c>
      <c r="H1635" s="64">
        <v>0</v>
      </c>
      <c r="I1635" s="34">
        <f>ROUND(G1635*H1635,2)</f>
        <v>0</v>
      </c>
      <c r="J1635" s="65" t="s">
        <v>133</v>
      </c>
      <c r="K1635" s="59"/>
      <c r="Z1635" s="34">
        <f>ROUND(IF(AQ1635="5",BJ1635,0),2)</f>
        <v>0</v>
      </c>
      <c r="AB1635" s="34">
        <f>ROUND(IF(AQ1635="1",BH1635,0),2)</f>
        <v>0</v>
      </c>
      <c r="AC1635" s="34">
        <f>ROUND(IF(AQ1635="1",BI1635,0),2)</f>
        <v>0</v>
      </c>
      <c r="AD1635" s="34">
        <f>ROUND(IF(AQ1635="7",BH1635,0),2)</f>
        <v>0</v>
      </c>
      <c r="AE1635" s="34">
        <f>ROUND(IF(AQ1635="7",BI1635,0),2)</f>
        <v>0</v>
      </c>
      <c r="AF1635" s="34">
        <f>ROUND(IF(AQ1635="2",BH1635,0),2)</f>
        <v>0</v>
      </c>
      <c r="AG1635" s="34">
        <f>ROUND(IF(AQ1635="2",BI1635,0),2)</f>
        <v>0</v>
      </c>
      <c r="AH1635" s="34">
        <f>ROUND(IF(AQ1635="0",BJ1635,0),2)</f>
        <v>0</v>
      </c>
      <c r="AI1635" s="46" t="s">
        <v>93</v>
      </c>
      <c r="AJ1635" s="34">
        <f>IF(AN1635=0,I1635,0)</f>
        <v>0</v>
      </c>
      <c r="AK1635" s="34">
        <f>IF(AN1635=12,I1635,0)</f>
        <v>0</v>
      </c>
      <c r="AL1635" s="34">
        <f>IF(AN1635=21,I1635,0)</f>
        <v>0</v>
      </c>
      <c r="AN1635" s="34">
        <v>21</v>
      </c>
      <c r="AO1635" s="34">
        <f>H1635*0.928586852</f>
        <v>0</v>
      </c>
      <c r="AP1635" s="34">
        <f>H1635*(1-0.928586852)</f>
        <v>0</v>
      </c>
      <c r="AQ1635" s="65" t="s">
        <v>175</v>
      </c>
      <c r="AV1635" s="34">
        <f>ROUND(AW1635+AX1635,2)</f>
        <v>0</v>
      </c>
      <c r="AW1635" s="34">
        <f>ROUND(G1635*AO1635,2)</f>
        <v>0</v>
      </c>
      <c r="AX1635" s="34">
        <f>ROUND(G1635*AP1635,2)</f>
        <v>0</v>
      </c>
      <c r="AY1635" s="65" t="s">
        <v>2166</v>
      </c>
      <c r="AZ1635" s="65" t="s">
        <v>2955</v>
      </c>
      <c r="BA1635" s="46" t="s">
        <v>2557</v>
      </c>
      <c r="BC1635" s="34">
        <f>AW1635+AX1635</f>
        <v>0</v>
      </c>
      <c r="BD1635" s="34">
        <f>H1635/(100-BE1635)*100</f>
        <v>0</v>
      </c>
      <c r="BE1635" s="34">
        <v>0</v>
      </c>
      <c r="BF1635" s="34">
        <f>1635</f>
        <v>1635</v>
      </c>
      <c r="BH1635" s="34">
        <f>G1635*AO1635</f>
        <v>0</v>
      </c>
      <c r="BI1635" s="34">
        <f>G1635*AP1635</f>
        <v>0</v>
      </c>
      <c r="BJ1635" s="34">
        <f>G1635*H1635</f>
        <v>0</v>
      </c>
      <c r="BK1635" s="34"/>
      <c r="BL1635" s="34">
        <v>734</v>
      </c>
      <c r="BW1635" s="34">
        <v>21</v>
      </c>
      <c r="BX1635" s="3" t="s">
        <v>2971</v>
      </c>
    </row>
    <row r="1636" spans="1:76" x14ac:dyDescent="0.25">
      <c r="A1636" s="66"/>
      <c r="D1636" s="67" t="s">
        <v>140</v>
      </c>
      <c r="E1636" s="67" t="s">
        <v>4</v>
      </c>
      <c r="G1636" s="68">
        <v>2</v>
      </c>
      <c r="K1636" s="59"/>
    </row>
    <row r="1637" spans="1:76" x14ac:dyDescent="0.25">
      <c r="A1637" s="1" t="s">
        <v>2972</v>
      </c>
      <c r="B1637" s="2" t="s">
        <v>93</v>
      </c>
      <c r="C1637" s="2" t="s">
        <v>2973</v>
      </c>
      <c r="D1637" s="86" t="s">
        <v>2974</v>
      </c>
      <c r="E1637" s="81"/>
      <c r="F1637" s="2" t="s">
        <v>258</v>
      </c>
      <c r="G1637" s="34">
        <v>4</v>
      </c>
      <c r="H1637" s="64">
        <v>0</v>
      </c>
      <c r="I1637" s="34">
        <f>ROUND(G1637*H1637,2)</f>
        <v>0</v>
      </c>
      <c r="J1637" s="65" t="s">
        <v>133</v>
      </c>
      <c r="K1637" s="59"/>
      <c r="Z1637" s="34">
        <f>ROUND(IF(AQ1637="5",BJ1637,0),2)</f>
        <v>0</v>
      </c>
      <c r="AB1637" s="34">
        <f>ROUND(IF(AQ1637="1",BH1637,0),2)</f>
        <v>0</v>
      </c>
      <c r="AC1637" s="34">
        <f>ROUND(IF(AQ1637="1",BI1637,0),2)</f>
        <v>0</v>
      </c>
      <c r="AD1637" s="34">
        <f>ROUND(IF(AQ1637="7",BH1637,0),2)</f>
        <v>0</v>
      </c>
      <c r="AE1637" s="34">
        <f>ROUND(IF(AQ1637="7",BI1637,0),2)</f>
        <v>0</v>
      </c>
      <c r="AF1637" s="34">
        <f>ROUND(IF(AQ1637="2",BH1637,0),2)</f>
        <v>0</v>
      </c>
      <c r="AG1637" s="34">
        <f>ROUND(IF(AQ1637="2",BI1637,0),2)</f>
        <v>0</v>
      </c>
      <c r="AH1637" s="34">
        <f>ROUND(IF(AQ1637="0",BJ1637,0),2)</f>
        <v>0</v>
      </c>
      <c r="AI1637" s="46" t="s">
        <v>93</v>
      </c>
      <c r="AJ1637" s="34">
        <f>IF(AN1637=0,I1637,0)</f>
        <v>0</v>
      </c>
      <c r="AK1637" s="34">
        <f>IF(AN1637=12,I1637,0)</f>
        <v>0</v>
      </c>
      <c r="AL1637" s="34">
        <f>IF(AN1637=21,I1637,0)</f>
        <v>0</v>
      </c>
      <c r="AN1637" s="34">
        <v>21</v>
      </c>
      <c r="AO1637" s="34">
        <f>H1637*0.90064781</f>
        <v>0</v>
      </c>
      <c r="AP1637" s="34">
        <f>H1637*(1-0.90064781)</f>
        <v>0</v>
      </c>
      <c r="AQ1637" s="65" t="s">
        <v>175</v>
      </c>
      <c r="AV1637" s="34">
        <f>ROUND(AW1637+AX1637,2)</f>
        <v>0</v>
      </c>
      <c r="AW1637" s="34">
        <f>ROUND(G1637*AO1637,2)</f>
        <v>0</v>
      </c>
      <c r="AX1637" s="34">
        <f>ROUND(G1637*AP1637,2)</f>
        <v>0</v>
      </c>
      <c r="AY1637" s="65" t="s">
        <v>2166</v>
      </c>
      <c r="AZ1637" s="65" t="s">
        <v>2955</v>
      </c>
      <c r="BA1637" s="46" t="s">
        <v>2557</v>
      </c>
      <c r="BC1637" s="34">
        <f>AW1637+AX1637</f>
        <v>0</v>
      </c>
      <c r="BD1637" s="34">
        <f>H1637/(100-BE1637)*100</f>
        <v>0</v>
      </c>
      <c r="BE1637" s="34">
        <v>0</v>
      </c>
      <c r="BF1637" s="34">
        <f>1637</f>
        <v>1637</v>
      </c>
      <c r="BH1637" s="34">
        <f>G1637*AO1637</f>
        <v>0</v>
      </c>
      <c r="BI1637" s="34">
        <f>G1637*AP1637</f>
        <v>0</v>
      </c>
      <c r="BJ1637" s="34">
        <f>G1637*H1637</f>
        <v>0</v>
      </c>
      <c r="BK1637" s="34"/>
      <c r="BL1637" s="34">
        <v>734</v>
      </c>
      <c r="BW1637" s="34">
        <v>21</v>
      </c>
      <c r="BX1637" s="3" t="s">
        <v>2974</v>
      </c>
    </row>
    <row r="1638" spans="1:76" x14ac:dyDescent="0.25">
      <c r="A1638" s="70"/>
      <c r="B1638" s="71"/>
      <c r="C1638" s="71"/>
      <c r="D1638" s="72" t="s">
        <v>161</v>
      </c>
      <c r="E1638" s="72" t="s">
        <v>4</v>
      </c>
      <c r="F1638" s="71"/>
      <c r="G1638" s="73">
        <v>4</v>
      </c>
      <c r="H1638" s="74"/>
      <c r="I1638" s="71"/>
      <c r="J1638" s="71"/>
      <c r="K1638" s="75"/>
    </row>
    <row r="1639" spans="1:76" x14ac:dyDescent="0.25">
      <c r="I1639" s="37">
        <f>ROUND(I13+I16+I19+I27+I36+I39+I63+I156+I219+I223+I263+I267+I285+I288+I305+I345+I370+I402+I460+I500+I545+I549+I553+I573+I617+I670+I735+I772+I791+I819+I828+I832+I839+I844+I850+I860+I987+I1006+I1008+I1015+I1018+I1044+I1069+I1072+I1075+I1080+I1142+I1145+I1156+I1169+I1188+I1209+I1302+I1346+I1354+I1362+I1371+I1383+I1386+I1392+I1447+I1515+I1570+I1588+I1592+I1604+I1606+I1608+I1610+I1613+I1616+I1623+I1626,2)</f>
        <v>0</v>
      </c>
    </row>
    <row r="1640" spans="1:76" x14ac:dyDescent="0.25">
      <c r="A1640" s="38" t="s">
        <v>56</v>
      </c>
    </row>
    <row r="1641" spans="1:76" ht="12.75" customHeight="1" x14ac:dyDescent="0.25">
      <c r="A1641" s="86" t="s">
        <v>4</v>
      </c>
      <c r="B1641" s="81"/>
      <c r="C1641" s="81"/>
      <c r="D1641" s="81"/>
      <c r="E1641" s="81"/>
      <c r="F1641" s="81"/>
      <c r="G1641" s="81"/>
      <c r="H1641" s="81"/>
      <c r="I1641" s="81"/>
      <c r="J1641" s="81"/>
      <c r="K1641" s="81"/>
    </row>
  </sheetData>
  <sheetProtection password="E93C" sheet="1"/>
  <mergeCells count="886">
    <mergeCell ref="D1631:E1631"/>
    <mergeCell ref="D1633:E1633"/>
    <mergeCell ref="D1635:E1635"/>
    <mergeCell ref="D1637:E1637"/>
    <mergeCell ref="A1641:K1641"/>
    <mergeCell ref="D1623:E1623"/>
    <mergeCell ref="D1624:E1624"/>
    <mergeCell ref="D1626:E1626"/>
    <mergeCell ref="D1627:E1627"/>
    <mergeCell ref="D1629:E1629"/>
    <mergeCell ref="D1614:E1614"/>
    <mergeCell ref="D1616:E1616"/>
    <mergeCell ref="D1617:E1617"/>
    <mergeCell ref="D1619:E1619"/>
    <mergeCell ref="D1621:E1621"/>
    <mergeCell ref="D1608:E1608"/>
    <mergeCell ref="D1609:E1609"/>
    <mergeCell ref="D1610:E1610"/>
    <mergeCell ref="D1611:E1611"/>
    <mergeCell ref="D1613:E1613"/>
    <mergeCell ref="D1602:E1602"/>
    <mergeCell ref="D1604:E1604"/>
    <mergeCell ref="D1605:E1605"/>
    <mergeCell ref="D1606:E1606"/>
    <mergeCell ref="D1607:E1607"/>
    <mergeCell ref="D1590:K1590"/>
    <mergeCell ref="D1592:E1592"/>
    <mergeCell ref="D1593:E1593"/>
    <mergeCell ref="D1595:E1595"/>
    <mergeCell ref="D1598:E1598"/>
    <mergeCell ref="D1582:E1582"/>
    <mergeCell ref="D1584:E1584"/>
    <mergeCell ref="D1586:E1586"/>
    <mergeCell ref="D1588:E1588"/>
    <mergeCell ref="D1589:E1589"/>
    <mergeCell ref="D1574:E1574"/>
    <mergeCell ref="D1575:K1575"/>
    <mergeCell ref="D1577:E1577"/>
    <mergeCell ref="D1578:K1578"/>
    <mergeCell ref="D1580:E1580"/>
    <mergeCell ref="D1567:E1567"/>
    <mergeCell ref="D1569:E1569"/>
    <mergeCell ref="D1570:E1570"/>
    <mergeCell ref="D1571:E1571"/>
    <mergeCell ref="D1572:K1572"/>
    <mergeCell ref="D1557:E1557"/>
    <mergeCell ref="D1559:E1559"/>
    <mergeCell ref="D1561:E1561"/>
    <mergeCell ref="D1563:E1563"/>
    <mergeCell ref="D1565:E1565"/>
    <mergeCell ref="D1548:E1548"/>
    <mergeCell ref="D1549:K1549"/>
    <mergeCell ref="D1551:E1551"/>
    <mergeCell ref="D1553:E1553"/>
    <mergeCell ref="D1555:E1555"/>
    <mergeCell ref="D1537:K1537"/>
    <mergeCell ref="D1539:E1539"/>
    <mergeCell ref="D1541:E1541"/>
    <mergeCell ref="D1543:E1543"/>
    <mergeCell ref="D1544:K1544"/>
    <mergeCell ref="D1529:E1529"/>
    <mergeCell ref="D1531:E1531"/>
    <mergeCell ref="D1533:E1533"/>
    <mergeCell ref="D1534:K1534"/>
    <mergeCell ref="D1536:E1536"/>
    <mergeCell ref="D1521:E1521"/>
    <mergeCell ref="D1522:K1522"/>
    <mergeCell ref="D1524:E1524"/>
    <mergeCell ref="D1525:K1525"/>
    <mergeCell ref="D1527:E1527"/>
    <mergeCell ref="D1513:E1513"/>
    <mergeCell ref="D1515:E1515"/>
    <mergeCell ref="D1516:E1516"/>
    <mergeCell ref="D1518:E1518"/>
    <mergeCell ref="D1519:K1519"/>
    <mergeCell ref="D1504:K1504"/>
    <mergeCell ref="D1506:E1506"/>
    <mergeCell ref="D1507:K1507"/>
    <mergeCell ref="D1509:E1509"/>
    <mergeCell ref="D1511:E1511"/>
    <mergeCell ref="D1497:E1497"/>
    <mergeCell ref="D1498:K1498"/>
    <mergeCell ref="D1500:E1500"/>
    <mergeCell ref="D1501:K1501"/>
    <mergeCell ref="D1503:E1503"/>
    <mergeCell ref="D1489:K1489"/>
    <mergeCell ref="D1491:E1491"/>
    <mergeCell ref="D1492:K1492"/>
    <mergeCell ref="D1494:E1494"/>
    <mergeCell ref="D1495:K1495"/>
    <mergeCell ref="D1482:E1482"/>
    <mergeCell ref="D1483:K1483"/>
    <mergeCell ref="D1485:E1485"/>
    <mergeCell ref="D1486:K1486"/>
    <mergeCell ref="D1488:E1488"/>
    <mergeCell ref="D1472:E1472"/>
    <mergeCell ref="D1474:E1474"/>
    <mergeCell ref="D1476:E1476"/>
    <mergeCell ref="D1478:E1478"/>
    <mergeCell ref="D1480:E1480"/>
    <mergeCell ref="D1462:E1462"/>
    <mergeCell ref="D1464:E1464"/>
    <mergeCell ref="D1466:E1466"/>
    <mergeCell ref="D1468:E1468"/>
    <mergeCell ref="D1470:E1470"/>
    <mergeCell ref="D1452:E1452"/>
    <mergeCell ref="D1454:E1454"/>
    <mergeCell ref="D1456:E1456"/>
    <mergeCell ref="D1458:E1458"/>
    <mergeCell ref="D1460:E1460"/>
    <mergeCell ref="D1442:E1442"/>
    <mergeCell ref="D1444:E1444"/>
    <mergeCell ref="D1447:E1447"/>
    <mergeCell ref="D1448:E1448"/>
    <mergeCell ref="D1450:E1450"/>
    <mergeCell ref="D1432:E1432"/>
    <mergeCell ref="D1434:E1434"/>
    <mergeCell ref="D1436:E1436"/>
    <mergeCell ref="D1438:E1438"/>
    <mergeCell ref="D1440:E1440"/>
    <mergeCell ref="D1422:E1422"/>
    <mergeCell ref="D1424:E1424"/>
    <mergeCell ref="D1426:E1426"/>
    <mergeCell ref="D1428:E1428"/>
    <mergeCell ref="D1430:E1430"/>
    <mergeCell ref="D1413:E1413"/>
    <mergeCell ref="D1415:E1415"/>
    <mergeCell ref="D1416:K1416"/>
    <mergeCell ref="D1418:E1418"/>
    <mergeCell ref="D1420:E1420"/>
    <mergeCell ref="D1405:E1405"/>
    <mergeCell ref="D1406:K1406"/>
    <mergeCell ref="D1408:E1408"/>
    <mergeCell ref="D1410:E1410"/>
    <mergeCell ref="D1411:K1411"/>
    <mergeCell ref="D1396:E1396"/>
    <mergeCell ref="D1398:E1398"/>
    <mergeCell ref="D1400:E1400"/>
    <mergeCell ref="D1402:E1402"/>
    <mergeCell ref="D1403:K1403"/>
    <mergeCell ref="D1384:E1384"/>
    <mergeCell ref="D1386:E1386"/>
    <mergeCell ref="D1387:E1387"/>
    <mergeCell ref="D1392:E1392"/>
    <mergeCell ref="D1393:E1393"/>
    <mergeCell ref="D1374:E1374"/>
    <mergeCell ref="D1375:K1375"/>
    <mergeCell ref="D1377:E1377"/>
    <mergeCell ref="D1380:E1380"/>
    <mergeCell ref="D1383:E1383"/>
    <mergeCell ref="D1365:E1365"/>
    <mergeCell ref="D1367:E1367"/>
    <mergeCell ref="D1369:E1369"/>
    <mergeCell ref="D1371:E1371"/>
    <mergeCell ref="D1372:E1372"/>
    <mergeCell ref="D1355:E1355"/>
    <mergeCell ref="D1358:E1358"/>
    <mergeCell ref="D1360:E1360"/>
    <mergeCell ref="D1362:E1362"/>
    <mergeCell ref="D1363:E1363"/>
    <mergeCell ref="D1349:E1349"/>
    <mergeCell ref="D1350:E1350"/>
    <mergeCell ref="D1351:K1351"/>
    <mergeCell ref="D1353:E1353"/>
    <mergeCell ref="D1354:E1354"/>
    <mergeCell ref="D1343:E1343"/>
    <mergeCell ref="D1345:E1345"/>
    <mergeCell ref="D1346:E1346"/>
    <mergeCell ref="D1347:E1347"/>
    <mergeCell ref="D1348:E1348"/>
    <mergeCell ref="D1338:E1338"/>
    <mergeCell ref="D1339:E1339"/>
    <mergeCell ref="D1340:E1340"/>
    <mergeCell ref="D1341:E1341"/>
    <mergeCell ref="D1342:E1342"/>
    <mergeCell ref="D1333:E1333"/>
    <mergeCell ref="D1334:E1334"/>
    <mergeCell ref="D1335:E1335"/>
    <mergeCell ref="D1336:E1336"/>
    <mergeCell ref="D1337:E1337"/>
    <mergeCell ref="D1327:E1327"/>
    <mergeCell ref="D1328:E1328"/>
    <mergeCell ref="D1330:E1330"/>
    <mergeCell ref="D1331:E1331"/>
    <mergeCell ref="D1332:E1332"/>
    <mergeCell ref="D1322:E1322"/>
    <mergeCell ref="D1323:E1323"/>
    <mergeCell ref="D1324:E1324"/>
    <mergeCell ref="D1325:E1325"/>
    <mergeCell ref="D1326:E1326"/>
    <mergeCell ref="D1317:E1317"/>
    <mergeCell ref="D1318:E1318"/>
    <mergeCell ref="D1319:E1319"/>
    <mergeCell ref="D1320:E1320"/>
    <mergeCell ref="D1321:E1321"/>
    <mergeCell ref="D1312:E1312"/>
    <mergeCell ref="D1313:E1313"/>
    <mergeCell ref="D1314:E1314"/>
    <mergeCell ref="D1315:E1315"/>
    <mergeCell ref="D1316:E1316"/>
    <mergeCell ref="D1307:E1307"/>
    <mergeCell ref="D1308:E1308"/>
    <mergeCell ref="D1309:E1309"/>
    <mergeCell ref="D1310:E1310"/>
    <mergeCell ref="D1311:E1311"/>
    <mergeCell ref="D1302:E1302"/>
    <mergeCell ref="D1303:E1303"/>
    <mergeCell ref="D1304:E1304"/>
    <mergeCell ref="D1305:E1305"/>
    <mergeCell ref="D1306:E1306"/>
    <mergeCell ref="D1292:E1292"/>
    <mergeCell ref="D1294:E1294"/>
    <mergeCell ref="D1296:E1296"/>
    <mergeCell ref="D1298:E1298"/>
    <mergeCell ref="D1300:E1300"/>
    <mergeCell ref="D1283:E1283"/>
    <mergeCell ref="D1285:E1285"/>
    <mergeCell ref="D1287:E1287"/>
    <mergeCell ref="D1289:E1289"/>
    <mergeCell ref="D1290:K1290"/>
    <mergeCell ref="D1274:E1274"/>
    <mergeCell ref="D1275:K1275"/>
    <mergeCell ref="D1277:E1277"/>
    <mergeCell ref="D1279:E1279"/>
    <mergeCell ref="D1281:E1281"/>
    <mergeCell ref="D1264:E1264"/>
    <mergeCell ref="D1266:E1266"/>
    <mergeCell ref="D1268:E1268"/>
    <mergeCell ref="D1270:E1270"/>
    <mergeCell ref="D1272:E1272"/>
    <mergeCell ref="D1254:E1254"/>
    <mergeCell ref="D1256:E1256"/>
    <mergeCell ref="D1258:E1258"/>
    <mergeCell ref="D1260:E1260"/>
    <mergeCell ref="D1262:E1262"/>
    <mergeCell ref="D1244:E1244"/>
    <mergeCell ref="D1246:E1246"/>
    <mergeCell ref="D1248:E1248"/>
    <mergeCell ref="D1250:E1250"/>
    <mergeCell ref="D1252:E1252"/>
    <mergeCell ref="D1236:E1236"/>
    <mergeCell ref="D1237:K1237"/>
    <mergeCell ref="D1239:E1239"/>
    <mergeCell ref="D1240:K1240"/>
    <mergeCell ref="D1242:E1242"/>
    <mergeCell ref="D1226:E1226"/>
    <mergeCell ref="D1228:E1228"/>
    <mergeCell ref="D1230:E1230"/>
    <mergeCell ref="D1232:E1232"/>
    <mergeCell ref="D1234:E1234"/>
    <mergeCell ref="D1216:E1216"/>
    <mergeCell ref="D1218:E1218"/>
    <mergeCell ref="D1220:E1220"/>
    <mergeCell ref="D1222:E1222"/>
    <mergeCell ref="D1224:E1224"/>
    <mergeCell ref="D1207:E1207"/>
    <mergeCell ref="D1209:E1209"/>
    <mergeCell ref="D1210:E1210"/>
    <mergeCell ref="D1212:E1212"/>
    <mergeCell ref="D1214:E1214"/>
    <mergeCell ref="D1197:E1197"/>
    <mergeCell ref="D1199:E1199"/>
    <mergeCell ref="D1201:E1201"/>
    <mergeCell ref="D1203:E1203"/>
    <mergeCell ref="D1205:E1205"/>
    <mergeCell ref="D1188:E1188"/>
    <mergeCell ref="D1189:E1189"/>
    <mergeCell ref="D1191:E1191"/>
    <mergeCell ref="D1193:E1193"/>
    <mergeCell ref="D1195:E1195"/>
    <mergeCell ref="D1183:E1183"/>
    <mergeCell ref="D1184:E1184"/>
    <mergeCell ref="D1185:E1185"/>
    <mergeCell ref="D1186:E1186"/>
    <mergeCell ref="D1187:E1187"/>
    <mergeCell ref="D1178:E1178"/>
    <mergeCell ref="D1179:E1179"/>
    <mergeCell ref="D1180:E1180"/>
    <mergeCell ref="D1181:E1181"/>
    <mergeCell ref="D1182:E1182"/>
    <mergeCell ref="D1173:E1173"/>
    <mergeCell ref="D1174:E1174"/>
    <mergeCell ref="D1175:E1175"/>
    <mergeCell ref="D1176:E1176"/>
    <mergeCell ref="D1177:E1177"/>
    <mergeCell ref="D1168:E1168"/>
    <mergeCell ref="D1169:E1169"/>
    <mergeCell ref="D1170:E1170"/>
    <mergeCell ref="D1171:E1171"/>
    <mergeCell ref="D1172:E1172"/>
    <mergeCell ref="D1163:E1163"/>
    <mergeCell ref="D1164:E1164"/>
    <mergeCell ref="D1165:E1165"/>
    <mergeCell ref="D1166:E1166"/>
    <mergeCell ref="D1167:E1167"/>
    <mergeCell ref="D1158:E1158"/>
    <mergeCell ref="D1159:E1159"/>
    <mergeCell ref="D1160:E1160"/>
    <mergeCell ref="D1161:E1161"/>
    <mergeCell ref="D1162:E1162"/>
    <mergeCell ref="D1153:E1153"/>
    <mergeCell ref="D1154:E1154"/>
    <mergeCell ref="D1155:E1155"/>
    <mergeCell ref="D1156:E1156"/>
    <mergeCell ref="D1157:E1157"/>
    <mergeCell ref="D1148:E1148"/>
    <mergeCell ref="D1149:E1149"/>
    <mergeCell ref="D1150:E1150"/>
    <mergeCell ref="D1151:E1151"/>
    <mergeCell ref="D1152:E1152"/>
    <mergeCell ref="D1143:E1143"/>
    <mergeCell ref="D1144:E1144"/>
    <mergeCell ref="D1145:E1145"/>
    <mergeCell ref="D1146:E1146"/>
    <mergeCell ref="D1147:E1147"/>
    <mergeCell ref="D1138:E1138"/>
    <mergeCell ref="D1139:E1139"/>
    <mergeCell ref="D1140:E1140"/>
    <mergeCell ref="D1141:E1141"/>
    <mergeCell ref="D1142:E1142"/>
    <mergeCell ref="D1133:E1133"/>
    <mergeCell ref="D1134:E1134"/>
    <mergeCell ref="D1135:E1135"/>
    <mergeCell ref="D1136:E1136"/>
    <mergeCell ref="D1137:E1137"/>
    <mergeCell ref="D1128:E1128"/>
    <mergeCell ref="D1129:E1129"/>
    <mergeCell ref="D1130:E1130"/>
    <mergeCell ref="D1131:E1131"/>
    <mergeCell ref="D1132:E1132"/>
    <mergeCell ref="D1123:E1123"/>
    <mergeCell ref="D1124:E1124"/>
    <mergeCell ref="D1125:E1125"/>
    <mergeCell ref="D1126:E1126"/>
    <mergeCell ref="D1127:E1127"/>
    <mergeCell ref="D1118:E1118"/>
    <mergeCell ref="D1119:E1119"/>
    <mergeCell ref="D1120:E1120"/>
    <mergeCell ref="D1121:E1121"/>
    <mergeCell ref="D1122:E1122"/>
    <mergeCell ref="D1113:E1113"/>
    <mergeCell ref="D1114:E1114"/>
    <mergeCell ref="D1115:E1115"/>
    <mergeCell ref="D1116:E1116"/>
    <mergeCell ref="D1117:E1117"/>
    <mergeCell ref="D1108:E1108"/>
    <mergeCell ref="D1109:E1109"/>
    <mergeCell ref="D1110:E1110"/>
    <mergeCell ref="D1111:E1111"/>
    <mergeCell ref="D1112:E1112"/>
    <mergeCell ref="D1103:E1103"/>
    <mergeCell ref="D1104:E1104"/>
    <mergeCell ref="D1105:E1105"/>
    <mergeCell ref="D1106:E1106"/>
    <mergeCell ref="D1107:E1107"/>
    <mergeCell ref="D1098:E1098"/>
    <mergeCell ref="D1099:E1099"/>
    <mergeCell ref="D1100:E1100"/>
    <mergeCell ref="D1101:E1101"/>
    <mergeCell ref="D1102:E1102"/>
    <mergeCell ref="D1093:E1093"/>
    <mergeCell ref="D1094:E1094"/>
    <mergeCell ref="D1095:E1095"/>
    <mergeCell ref="D1096:E1096"/>
    <mergeCell ref="D1097:E1097"/>
    <mergeCell ref="D1088:E1088"/>
    <mergeCell ref="D1089:E1089"/>
    <mergeCell ref="D1090:E1090"/>
    <mergeCell ref="D1091:E1091"/>
    <mergeCell ref="D1092:E1092"/>
    <mergeCell ref="D1083:E1083"/>
    <mergeCell ref="D1084:E1084"/>
    <mergeCell ref="D1085:E1085"/>
    <mergeCell ref="D1086:E1086"/>
    <mergeCell ref="D1087:E1087"/>
    <mergeCell ref="D1077:K1077"/>
    <mergeCell ref="D1079:E1079"/>
    <mergeCell ref="D1080:E1080"/>
    <mergeCell ref="D1081:E1081"/>
    <mergeCell ref="D1082:E1082"/>
    <mergeCell ref="D1070:E1070"/>
    <mergeCell ref="D1072:E1072"/>
    <mergeCell ref="D1073:E1073"/>
    <mergeCell ref="D1075:E1075"/>
    <mergeCell ref="D1076:E1076"/>
    <mergeCell ref="D1063:E1063"/>
    <mergeCell ref="D1064:E1064"/>
    <mergeCell ref="D1066:E1066"/>
    <mergeCell ref="D1068:E1068"/>
    <mergeCell ref="D1069:E1069"/>
    <mergeCell ref="D1053:E1053"/>
    <mergeCell ref="D1055:E1055"/>
    <mergeCell ref="D1057:E1057"/>
    <mergeCell ref="D1059:E1059"/>
    <mergeCell ref="D1061:E1061"/>
    <mergeCell ref="D1044:E1044"/>
    <mergeCell ref="D1045:E1045"/>
    <mergeCell ref="D1047:E1047"/>
    <mergeCell ref="D1049:E1049"/>
    <mergeCell ref="D1051:E1051"/>
    <mergeCell ref="D1039:E1039"/>
    <mergeCell ref="D1040:E1040"/>
    <mergeCell ref="D1041:E1041"/>
    <mergeCell ref="D1042:E1042"/>
    <mergeCell ref="D1043:E1043"/>
    <mergeCell ref="D1030:E1030"/>
    <mergeCell ref="D1032:E1032"/>
    <mergeCell ref="D1034:E1034"/>
    <mergeCell ref="D1037:E1037"/>
    <mergeCell ref="D1038:E1038"/>
    <mergeCell ref="D1022:E1022"/>
    <mergeCell ref="D1023:K1023"/>
    <mergeCell ref="D1025:E1025"/>
    <mergeCell ref="D1026:K1026"/>
    <mergeCell ref="D1028:E1028"/>
    <mergeCell ref="D1015:E1015"/>
    <mergeCell ref="D1016:E1016"/>
    <mergeCell ref="D1018:E1018"/>
    <mergeCell ref="D1019:E1019"/>
    <mergeCell ref="D1020:E1020"/>
    <mergeCell ref="D1008:E1008"/>
    <mergeCell ref="D1009:E1009"/>
    <mergeCell ref="D1010:K1010"/>
    <mergeCell ref="D1012:E1012"/>
    <mergeCell ref="D1013:K1013"/>
    <mergeCell ref="D1000:E1000"/>
    <mergeCell ref="D1002:E1002"/>
    <mergeCell ref="D1004:E1004"/>
    <mergeCell ref="D1006:E1006"/>
    <mergeCell ref="D1007:E1007"/>
    <mergeCell ref="D985:E985"/>
    <mergeCell ref="D987:E987"/>
    <mergeCell ref="D988:E988"/>
    <mergeCell ref="D990:E990"/>
    <mergeCell ref="D998:E998"/>
    <mergeCell ref="D972:E972"/>
    <mergeCell ref="D977:E977"/>
    <mergeCell ref="D979:E979"/>
    <mergeCell ref="D981:E981"/>
    <mergeCell ref="D982:K982"/>
    <mergeCell ref="D950:E950"/>
    <mergeCell ref="D953:E953"/>
    <mergeCell ref="D955:E955"/>
    <mergeCell ref="D964:E964"/>
    <mergeCell ref="D969:E969"/>
    <mergeCell ref="D934:E934"/>
    <mergeCell ref="D937:E937"/>
    <mergeCell ref="D939:E939"/>
    <mergeCell ref="D942:E942"/>
    <mergeCell ref="D945:E945"/>
    <mergeCell ref="D885:E885"/>
    <mergeCell ref="D913:E913"/>
    <mergeCell ref="D925:E925"/>
    <mergeCell ref="D928:E928"/>
    <mergeCell ref="D929:K929"/>
    <mergeCell ref="D861:E861"/>
    <mergeCell ref="D862:K862"/>
    <mergeCell ref="D868:E868"/>
    <mergeCell ref="D869:K869"/>
    <mergeCell ref="D876:E876"/>
    <mergeCell ref="D851:E851"/>
    <mergeCell ref="D854:E854"/>
    <mergeCell ref="D856:E856"/>
    <mergeCell ref="D858:E858"/>
    <mergeCell ref="D860:E860"/>
    <mergeCell ref="D844:E844"/>
    <mergeCell ref="D845:E845"/>
    <mergeCell ref="D846:K846"/>
    <mergeCell ref="D848:E848"/>
    <mergeCell ref="D850:E850"/>
    <mergeCell ref="D833:E833"/>
    <mergeCell ref="D836:E836"/>
    <mergeCell ref="D839:E839"/>
    <mergeCell ref="D840:E840"/>
    <mergeCell ref="D842:E842"/>
    <mergeCell ref="D827:E827"/>
    <mergeCell ref="D828:E828"/>
    <mergeCell ref="D829:E829"/>
    <mergeCell ref="D830:K830"/>
    <mergeCell ref="D832:E832"/>
    <mergeCell ref="D819:E819"/>
    <mergeCell ref="D820:E820"/>
    <mergeCell ref="D821:K821"/>
    <mergeCell ref="D823:E823"/>
    <mergeCell ref="D825:E825"/>
    <mergeCell ref="D812:E812"/>
    <mergeCell ref="D815:E815"/>
    <mergeCell ref="D816:E816"/>
    <mergeCell ref="D817:E817"/>
    <mergeCell ref="D818:E818"/>
    <mergeCell ref="D801:E801"/>
    <mergeCell ref="D804:E804"/>
    <mergeCell ref="D807:E807"/>
    <mergeCell ref="D809:E809"/>
    <mergeCell ref="D810:K810"/>
    <mergeCell ref="D792:E792"/>
    <mergeCell ref="D793:K793"/>
    <mergeCell ref="D796:E796"/>
    <mergeCell ref="D797:K797"/>
    <mergeCell ref="D799:E799"/>
    <mergeCell ref="D779:K779"/>
    <mergeCell ref="D782:E782"/>
    <mergeCell ref="D788:E788"/>
    <mergeCell ref="D789:E789"/>
    <mergeCell ref="D791:E791"/>
    <mergeCell ref="D772:E772"/>
    <mergeCell ref="D773:E773"/>
    <mergeCell ref="D775:E775"/>
    <mergeCell ref="D776:K776"/>
    <mergeCell ref="D778:E778"/>
    <mergeCell ref="D765:E765"/>
    <mergeCell ref="D766:K766"/>
    <mergeCell ref="D768:E768"/>
    <mergeCell ref="D770:E770"/>
    <mergeCell ref="D771:E771"/>
    <mergeCell ref="D757:K757"/>
    <mergeCell ref="D759:E759"/>
    <mergeCell ref="D760:K760"/>
    <mergeCell ref="D762:E762"/>
    <mergeCell ref="D763:K763"/>
    <mergeCell ref="D748:E748"/>
    <mergeCell ref="D749:K749"/>
    <mergeCell ref="D752:E752"/>
    <mergeCell ref="D753:K753"/>
    <mergeCell ref="D756:E756"/>
    <mergeCell ref="D740:K740"/>
    <mergeCell ref="D742:E742"/>
    <mergeCell ref="D743:K743"/>
    <mergeCell ref="D745:E745"/>
    <mergeCell ref="D746:K746"/>
    <mergeCell ref="D732:E732"/>
    <mergeCell ref="D734:E734"/>
    <mergeCell ref="D735:E735"/>
    <mergeCell ref="D736:E736"/>
    <mergeCell ref="D739:E739"/>
    <mergeCell ref="D723:K723"/>
    <mergeCell ref="D725:E725"/>
    <mergeCell ref="D726:K726"/>
    <mergeCell ref="D728:E728"/>
    <mergeCell ref="D730:E730"/>
    <mergeCell ref="D716:E716"/>
    <mergeCell ref="D717:K717"/>
    <mergeCell ref="D719:E719"/>
    <mergeCell ref="D720:K720"/>
    <mergeCell ref="D722:E722"/>
    <mergeCell ref="D708:K708"/>
    <mergeCell ref="D710:E710"/>
    <mergeCell ref="D711:K711"/>
    <mergeCell ref="D713:E713"/>
    <mergeCell ref="D714:K714"/>
    <mergeCell ref="D701:E701"/>
    <mergeCell ref="D702:K702"/>
    <mergeCell ref="D704:E704"/>
    <mergeCell ref="D705:K705"/>
    <mergeCell ref="D707:E707"/>
    <mergeCell ref="D693:K693"/>
    <mergeCell ref="D695:E695"/>
    <mergeCell ref="D696:K696"/>
    <mergeCell ref="D698:E698"/>
    <mergeCell ref="D699:K699"/>
    <mergeCell ref="D686:E686"/>
    <mergeCell ref="D687:K687"/>
    <mergeCell ref="D689:E689"/>
    <mergeCell ref="D690:K690"/>
    <mergeCell ref="D692:E692"/>
    <mergeCell ref="D678:K678"/>
    <mergeCell ref="D680:E680"/>
    <mergeCell ref="D681:K681"/>
    <mergeCell ref="D683:E683"/>
    <mergeCell ref="D684:K684"/>
    <mergeCell ref="D670:E670"/>
    <mergeCell ref="D671:E671"/>
    <mergeCell ref="D673:E673"/>
    <mergeCell ref="D675:E675"/>
    <mergeCell ref="D677:E677"/>
    <mergeCell ref="D662:K662"/>
    <mergeCell ref="D664:E664"/>
    <mergeCell ref="D665:K665"/>
    <mergeCell ref="D667:E667"/>
    <mergeCell ref="D669:E669"/>
    <mergeCell ref="D655:E655"/>
    <mergeCell ref="D656:K656"/>
    <mergeCell ref="D658:E658"/>
    <mergeCell ref="D659:K659"/>
    <mergeCell ref="D661:E661"/>
    <mergeCell ref="D646:E646"/>
    <mergeCell ref="D647:K647"/>
    <mergeCell ref="D649:E649"/>
    <mergeCell ref="D650:K650"/>
    <mergeCell ref="D653:E653"/>
    <mergeCell ref="D638:E638"/>
    <mergeCell ref="D640:E640"/>
    <mergeCell ref="D641:K641"/>
    <mergeCell ref="D643:E643"/>
    <mergeCell ref="D644:K644"/>
    <mergeCell ref="D629:E629"/>
    <mergeCell ref="D630:K630"/>
    <mergeCell ref="D632:E632"/>
    <mergeCell ref="D633:K633"/>
    <mergeCell ref="D636:E636"/>
    <mergeCell ref="D619:K619"/>
    <mergeCell ref="D623:E623"/>
    <mergeCell ref="D624:K624"/>
    <mergeCell ref="D626:E626"/>
    <mergeCell ref="D627:K627"/>
    <mergeCell ref="D612:E612"/>
    <mergeCell ref="D614:E614"/>
    <mergeCell ref="D616:E616"/>
    <mergeCell ref="D617:E617"/>
    <mergeCell ref="D618:E618"/>
    <mergeCell ref="D604:K604"/>
    <mergeCell ref="D606:E606"/>
    <mergeCell ref="D607:K607"/>
    <mergeCell ref="D609:E609"/>
    <mergeCell ref="D610:K610"/>
    <mergeCell ref="D596:E596"/>
    <mergeCell ref="D598:E598"/>
    <mergeCell ref="D599:K599"/>
    <mergeCell ref="D601:E601"/>
    <mergeCell ref="D603:E603"/>
    <mergeCell ref="D587:E587"/>
    <mergeCell ref="D589:E589"/>
    <mergeCell ref="D591:E591"/>
    <mergeCell ref="D592:K592"/>
    <mergeCell ref="D594:E594"/>
    <mergeCell ref="D573:E573"/>
    <mergeCell ref="D574:E574"/>
    <mergeCell ref="D580:E580"/>
    <mergeCell ref="D584:E584"/>
    <mergeCell ref="D586:E586"/>
    <mergeCell ref="D563:E563"/>
    <mergeCell ref="D566:E566"/>
    <mergeCell ref="D568:E568"/>
    <mergeCell ref="D569:E569"/>
    <mergeCell ref="D571:E571"/>
    <mergeCell ref="D551:K551"/>
    <mergeCell ref="D553:E553"/>
    <mergeCell ref="D554:E554"/>
    <mergeCell ref="D557:E557"/>
    <mergeCell ref="D560:E560"/>
    <mergeCell ref="D545:E545"/>
    <mergeCell ref="D546:E546"/>
    <mergeCell ref="D547:K547"/>
    <mergeCell ref="D549:E549"/>
    <mergeCell ref="D550:E550"/>
    <mergeCell ref="D535:E535"/>
    <mergeCell ref="D539:E539"/>
    <mergeCell ref="D540:K540"/>
    <mergeCell ref="D542:E542"/>
    <mergeCell ref="D544:E544"/>
    <mergeCell ref="D526:E526"/>
    <mergeCell ref="D528:E528"/>
    <mergeCell ref="D530:E530"/>
    <mergeCell ref="D532:E532"/>
    <mergeCell ref="D533:K533"/>
    <mergeCell ref="D514:E514"/>
    <mergeCell ref="D516:E516"/>
    <mergeCell ref="D519:E519"/>
    <mergeCell ref="D521:E521"/>
    <mergeCell ref="D524:E524"/>
    <mergeCell ref="D501:E501"/>
    <mergeCell ref="D503:E503"/>
    <mergeCell ref="D504:K504"/>
    <mergeCell ref="D506:E506"/>
    <mergeCell ref="D508:E508"/>
    <mergeCell ref="D493:E493"/>
    <mergeCell ref="D495:E495"/>
    <mergeCell ref="D497:E497"/>
    <mergeCell ref="D499:E499"/>
    <mergeCell ref="D500:E500"/>
    <mergeCell ref="D483:E483"/>
    <mergeCell ref="D485:E485"/>
    <mergeCell ref="D487:E487"/>
    <mergeCell ref="D489:E489"/>
    <mergeCell ref="D491:E491"/>
    <mergeCell ref="D475:E475"/>
    <mergeCell ref="D476:K476"/>
    <mergeCell ref="D478:E478"/>
    <mergeCell ref="D479:K479"/>
    <mergeCell ref="D481:E481"/>
    <mergeCell ref="D466:K466"/>
    <mergeCell ref="D469:E469"/>
    <mergeCell ref="D470:K470"/>
    <mergeCell ref="D472:E472"/>
    <mergeCell ref="D473:K473"/>
    <mergeCell ref="D459:E459"/>
    <mergeCell ref="D460:E460"/>
    <mergeCell ref="D461:E461"/>
    <mergeCell ref="D462:K462"/>
    <mergeCell ref="D465:E465"/>
    <mergeCell ref="D439:K439"/>
    <mergeCell ref="D453:E453"/>
    <mergeCell ref="D454:K454"/>
    <mergeCell ref="D456:E456"/>
    <mergeCell ref="D457:K457"/>
    <mergeCell ref="D432:E432"/>
    <mergeCell ref="D433:K433"/>
    <mergeCell ref="D435:E435"/>
    <mergeCell ref="D436:K436"/>
    <mergeCell ref="D438:E438"/>
    <mergeCell ref="D424:K424"/>
    <mergeCell ref="D426:E426"/>
    <mergeCell ref="D427:K427"/>
    <mergeCell ref="D429:E429"/>
    <mergeCell ref="D430:K430"/>
    <mergeCell ref="D416:E416"/>
    <mergeCell ref="D417:K417"/>
    <mergeCell ref="D420:E420"/>
    <mergeCell ref="D421:K421"/>
    <mergeCell ref="D423:E423"/>
    <mergeCell ref="D403:E403"/>
    <mergeCell ref="D406:E406"/>
    <mergeCell ref="D407:K407"/>
    <mergeCell ref="D412:E412"/>
    <mergeCell ref="D413:K413"/>
    <mergeCell ref="D390:K390"/>
    <mergeCell ref="D393:E393"/>
    <mergeCell ref="D394:K394"/>
    <mergeCell ref="D400:E400"/>
    <mergeCell ref="D402:E402"/>
    <mergeCell ref="D377:E377"/>
    <mergeCell ref="D378:K378"/>
    <mergeCell ref="D381:E381"/>
    <mergeCell ref="D382:K382"/>
    <mergeCell ref="D389:E389"/>
    <mergeCell ref="D370:E370"/>
    <mergeCell ref="D371:E371"/>
    <mergeCell ref="D372:K372"/>
    <mergeCell ref="D374:E374"/>
    <mergeCell ref="D375:K375"/>
    <mergeCell ref="D346:E346"/>
    <mergeCell ref="D354:E354"/>
    <mergeCell ref="D361:E361"/>
    <mergeCell ref="D365:E365"/>
    <mergeCell ref="D368:E368"/>
    <mergeCell ref="D338:E338"/>
    <mergeCell ref="D339:K339"/>
    <mergeCell ref="D341:E341"/>
    <mergeCell ref="D342:K342"/>
    <mergeCell ref="D345:E345"/>
    <mergeCell ref="D322:K322"/>
    <mergeCell ref="D324:E324"/>
    <mergeCell ref="D326:E326"/>
    <mergeCell ref="D327:K327"/>
    <mergeCell ref="D329:E329"/>
    <mergeCell ref="D305:E305"/>
    <mergeCell ref="D306:E306"/>
    <mergeCell ref="D308:E308"/>
    <mergeCell ref="D309:K309"/>
    <mergeCell ref="D321:E321"/>
    <mergeCell ref="D292:E292"/>
    <mergeCell ref="D293:K293"/>
    <mergeCell ref="D297:E297"/>
    <mergeCell ref="D301:E301"/>
    <mergeCell ref="D302:K302"/>
    <mergeCell ref="D285:E285"/>
    <mergeCell ref="D286:E286"/>
    <mergeCell ref="D288:E288"/>
    <mergeCell ref="D289:E289"/>
    <mergeCell ref="D290:K290"/>
    <mergeCell ref="D275:E275"/>
    <mergeCell ref="D276:K276"/>
    <mergeCell ref="D279:E279"/>
    <mergeCell ref="D282:E282"/>
    <mergeCell ref="D283:E283"/>
    <mergeCell ref="D267:E267"/>
    <mergeCell ref="D268:E268"/>
    <mergeCell ref="D269:K269"/>
    <mergeCell ref="D271:E271"/>
    <mergeCell ref="D273:E273"/>
    <mergeCell ref="D259:K259"/>
    <mergeCell ref="D261:E261"/>
    <mergeCell ref="D263:E263"/>
    <mergeCell ref="D264:E264"/>
    <mergeCell ref="D265:K265"/>
    <mergeCell ref="D245:K245"/>
    <mergeCell ref="D249:E249"/>
    <mergeCell ref="D253:E253"/>
    <mergeCell ref="D254:K254"/>
    <mergeCell ref="D258:E258"/>
    <mergeCell ref="D230:E230"/>
    <mergeCell ref="D235:E235"/>
    <mergeCell ref="D236:K236"/>
    <mergeCell ref="D238:E238"/>
    <mergeCell ref="D244:E244"/>
    <mergeCell ref="D221:K221"/>
    <mergeCell ref="D223:E223"/>
    <mergeCell ref="D224:E224"/>
    <mergeCell ref="D226:E226"/>
    <mergeCell ref="D228:E228"/>
    <mergeCell ref="D211:E211"/>
    <mergeCell ref="D216:E216"/>
    <mergeCell ref="D217:K217"/>
    <mergeCell ref="D219:E219"/>
    <mergeCell ref="D220:E220"/>
    <mergeCell ref="D162:E162"/>
    <mergeCell ref="D163:K163"/>
    <mergeCell ref="D193:E193"/>
    <mergeCell ref="D204:E204"/>
    <mergeCell ref="D207:E207"/>
    <mergeCell ref="D153:E153"/>
    <mergeCell ref="D154:K154"/>
    <mergeCell ref="D156:E156"/>
    <mergeCell ref="D157:E157"/>
    <mergeCell ref="D159:E159"/>
    <mergeCell ref="D143:E143"/>
    <mergeCell ref="D145:E145"/>
    <mergeCell ref="D147:E147"/>
    <mergeCell ref="D149:E149"/>
    <mergeCell ref="D151:E151"/>
    <mergeCell ref="D132:E132"/>
    <mergeCell ref="D134:E134"/>
    <mergeCell ref="D136:E136"/>
    <mergeCell ref="D139:E139"/>
    <mergeCell ref="D141:E141"/>
    <mergeCell ref="D101:E101"/>
    <mergeCell ref="D117:E117"/>
    <mergeCell ref="D119:E119"/>
    <mergeCell ref="D128:E128"/>
    <mergeCell ref="D130:E130"/>
    <mergeCell ref="D88:E88"/>
    <mergeCell ref="D89:K89"/>
    <mergeCell ref="D94:E94"/>
    <mergeCell ref="D98:E98"/>
    <mergeCell ref="D99:K99"/>
    <mergeCell ref="D75:K75"/>
    <mergeCell ref="D80:E80"/>
    <mergeCell ref="D82:E82"/>
    <mergeCell ref="D84:E84"/>
    <mergeCell ref="D86:E86"/>
    <mergeCell ref="D61:K61"/>
    <mergeCell ref="D63:E63"/>
    <mergeCell ref="D64:E64"/>
    <mergeCell ref="D67:E67"/>
    <mergeCell ref="D74:E74"/>
    <mergeCell ref="D52:E52"/>
    <mergeCell ref="D53:K53"/>
    <mergeCell ref="D57:E57"/>
    <mergeCell ref="D58:K58"/>
    <mergeCell ref="D60:E60"/>
    <mergeCell ref="D39:E39"/>
    <mergeCell ref="D40:E40"/>
    <mergeCell ref="D43:E43"/>
    <mergeCell ref="D45:E45"/>
    <mergeCell ref="D46:K46"/>
    <mergeCell ref="D30:E30"/>
    <mergeCell ref="D32:E32"/>
    <mergeCell ref="D34:E34"/>
    <mergeCell ref="D36:E36"/>
    <mergeCell ref="D37:E37"/>
    <mergeCell ref="D17:E17"/>
    <mergeCell ref="D19:E19"/>
    <mergeCell ref="D20:E20"/>
    <mergeCell ref="D27:E27"/>
    <mergeCell ref="D28:E28"/>
    <mergeCell ref="D11:E11"/>
    <mergeCell ref="D12:E12"/>
    <mergeCell ref="D13:E13"/>
    <mergeCell ref="D14:E14"/>
    <mergeCell ref="D16:E16"/>
    <mergeCell ref="J2:K3"/>
    <mergeCell ref="J4:K5"/>
    <mergeCell ref="J6:K7"/>
    <mergeCell ref="J8:K9"/>
    <mergeCell ref="D10:E10"/>
    <mergeCell ref="D8:E9"/>
    <mergeCell ref="H2:H3"/>
    <mergeCell ref="H4:H5"/>
    <mergeCell ref="H6:H7"/>
    <mergeCell ref="H8:H9"/>
    <mergeCell ref="A1:K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Krycí list rozpočtu</vt:lpstr>
      <vt:lpstr>VORN</vt:lpstr>
      <vt:lpstr>Rozpočet - objekty</vt:lpstr>
      <vt:lpstr>Stavební rozpočet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Jiří Bárta</cp:lastModifiedBy>
  <dcterms:created xsi:type="dcterms:W3CDTF">2021-06-10T20:06:38Z</dcterms:created>
  <dcterms:modified xsi:type="dcterms:W3CDTF">2025-07-28T07:19:30Z</dcterms:modified>
</cp:coreProperties>
</file>