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nterreg - Fukovský výběžek - společně nezapomeneme\Realizace\VŘ rozhledna\nové VŘ\"/>
    </mc:Choice>
  </mc:AlternateContent>
  <xr:revisionPtr revIDLastSave="0" documentId="13_ncr:1_{F3C19174-DE9F-4A2D-BB93-1CBA600904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ební rozpočet" sheetId="1" r:id="rId1"/>
    <sheet name="Rozpočet - vybrané sloupce" sheetId="2" r:id="rId2"/>
    <sheet name="Stavební rozpočet - součet" sheetId="3" r:id="rId3"/>
    <sheet name="Krycí list rozpočtu" sheetId="4" r:id="rId4"/>
    <sheet name="VORN" sheetId="5" state="hidden" r:id="rId5"/>
  </sheets>
  <definedNames>
    <definedName name="vorn_sum">VORN!$I$36</definedName>
  </definedNames>
  <calcPr calcId="181029"/>
</workbook>
</file>

<file path=xl/calcChain.xml><?xml version="1.0" encoding="utf-8"?>
<calcChain xmlns="http://schemas.openxmlformats.org/spreadsheetml/2006/main">
  <c r="I35" i="5" l="1"/>
  <c r="I36" i="5" s="1"/>
  <c r="I24" i="4" s="1"/>
  <c r="I26" i="5"/>
  <c r="I25" i="5"/>
  <c r="I24" i="5"/>
  <c r="I23" i="5"/>
  <c r="I16" i="4" s="1"/>
  <c r="I22" i="5"/>
  <c r="I21" i="5"/>
  <c r="I17" i="5"/>
  <c r="F16" i="4" s="1"/>
  <c r="I16" i="5"/>
  <c r="I15" i="5"/>
  <c r="I18" i="5" s="1"/>
  <c r="I10" i="5"/>
  <c r="F10" i="5"/>
  <c r="C10" i="5"/>
  <c r="F8" i="5"/>
  <c r="C8" i="5"/>
  <c r="F6" i="5"/>
  <c r="C6" i="5"/>
  <c r="F4" i="5"/>
  <c r="C4" i="5"/>
  <c r="F2" i="5"/>
  <c r="C2" i="5"/>
  <c r="I19" i="4"/>
  <c r="I18" i="4"/>
  <c r="I17" i="4"/>
  <c r="I15" i="4"/>
  <c r="F15" i="4"/>
  <c r="I14" i="4"/>
  <c r="F14" i="4"/>
  <c r="F22" i="4" s="1"/>
  <c r="I10" i="4"/>
  <c r="F10" i="4"/>
  <c r="C10" i="4"/>
  <c r="F8" i="4"/>
  <c r="C8" i="4"/>
  <c r="F6" i="4"/>
  <c r="C6" i="4"/>
  <c r="F4" i="4"/>
  <c r="C4" i="4"/>
  <c r="F2" i="4"/>
  <c r="C2" i="4"/>
  <c r="G8" i="3"/>
  <c r="C8" i="3"/>
  <c r="G6" i="3"/>
  <c r="C6" i="3"/>
  <c r="G4" i="3"/>
  <c r="C4" i="3"/>
  <c r="G2" i="3"/>
  <c r="C2" i="3"/>
  <c r="J111" i="2"/>
  <c r="F111" i="2"/>
  <c r="IS111" i="2" s="1"/>
  <c r="E111" i="2"/>
  <c r="J110" i="2"/>
  <c r="F110" i="2"/>
  <c r="IS110" i="2" s="1"/>
  <c r="H110" i="2" s="1"/>
  <c r="E110" i="2"/>
  <c r="J108" i="2"/>
  <c r="F108" i="2"/>
  <c r="IR108" i="2" s="1"/>
  <c r="E108" i="2"/>
  <c r="J107" i="2"/>
  <c r="F107" i="2"/>
  <c r="E107" i="2"/>
  <c r="J106" i="2"/>
  <c r="K106" i="2" s="1"/>
  <c r="F106" i="2"/>
  <c r="IS106" i="2" s="1"/>
  <c r="H106" i="2" s="1"/>
  <c r="E106" i="2"/>
  <c r="J105" i="2"/>
  <c r="K105" i="2" s="1"/>
  <c r="F105" i="2"/>
  <c r="IS105" i="2" s="1"/>
  <c r="H105" i="2" s="1"/>
  <c r="E105" i="2"/>
  <c r="J104" i="2"/>
  <c r="F104" i="2"/>
  <c r="IS104" i="2" s="1"/>
  <c r="E104" i="2"/>
  <c r="J103" i="2"/>
  <c r="K103" i="2" s="1"/>
  <c r="F103" i="2"/>
  <c r="E103" i="2"/>
  <c r="J102" i="2"/>
  <c r="F102" i="2"/>
  <c r="IS102" i="2" s="1"/>
  <c r="E102" i="2"/>
  <c r="J101" i="2"/>
  <c r="F101" i="2"/>
  <c r="IS101" i="2" s="1"/>
  <c r="E101" i="2"/>
  <c r="J100" i="2"/>
  <c r="F100" i="2"/>
  <c r="IS100" i="2" s="1"/>
  <c r="E100" i="2"/>
  <c r="J99" i="2"/>
  <c r="F99" i="2"/>
  <c r="E99" i="2"/>
  <c r="J98" i="2"/>
  <c r="F98" i="2"/>
  <c r="IS98" i="2" s="1"/>
  <c r="E98" i="2"/>
  <c r="IR97" i="2"/>
  <c r="J97" i="2"/>
  <c r="F97" i="2"/>
  <c r="IS97" i="2" s="1"/>
  <c r="E97" i="2"/>
  <c r="IR96" i="2"/>
  <c r="I96" i="2" s="1"/>
  <c r="J96" i="2"/>
  <c r="F96" i="2"/>
  <c r="IS96" i="2" s="1"/>
  <c r="E96" i="2"/>
  <c r="J95" i="2"/>
  <c r="F95" i="2"/>
  <c r="E95" i="2"/>
  <c r="J94" i="2"/>
  <c r="K94" i="2" s="1"/>
  <c r="F94" i="2"/>
  <c r="IS94" i="2" s="1"/>
  <c r="E94" i="2"/>
  <c r="J93" i="2"/>
  <c r="F93" i="2"/>
  <c r="IS93" i="2" s="1"/>
  <c r="E93" i="2"/>
  <c r="J92" i="2"/>
  <c r="F92" i="2"/>
  <c r="E92" i="2"/>
  <c r="J91" i="2"/>
  <c r="F91" i="2"/>
  <c r="E91" i="2"/>
  <c r="J90" i="2"/>
  <c r="F90" i="2"/>
  <c r="IS90" i="2" s="1"/>
  <c r="E90" i="2"/>
  <c r="J89" i="2"/>
  <c r="F89" i="2"/>
  <c r="E89" i="2"/>
  <c r="J88" i="2"/>
  <c r="F88" i="2"/>
  <c r="IS88" i="2" s="1"/>
  <c r="E88" i="2"/>
  <c r="J87" i="2"/>
  <c r="K87" i="2" s="1"/>
  <c r="F87" i="2"/>
  <c r="E87" i="2"/>
  <c r="J86" i="2"/>
  <c r="F86" i="2"/>
  <c r="IS86" i="2" s="1"/>
  <c r="E86" i="2"/>
  <c r="J85" i="2"/>
  <c r="F85" i="2"/>
  <c r="IS85" i="2" s="1"/>
  <c r="H85" i="2" s="1"/>
  <c r="E85" i="2"/>
  <c r="IR84" i="2"/>
  <c r="J84" i="2"/>
  <c r="F84" i="2"/>
  <c r="IS84" i="2" s="1"/>
  <c r="E84" i="2"/>
  <c r="J83" i="2"/>
  <c r="K83" i="2" s="1"/>
  <c r="F83" i="2"/>
  <c r="E83" i="2"/>
  <c r="J82" i="2"/>
  <c r="K82" i="2" s="1"/>
  <c r="F82" i="2"/>
  <c r="IR82" i="2" s="1"/>
  <c r="E82" i="2"/>
  <c r="J81" i="2"/>
  <c r="F81" i="2"/>
  <c r="IS81" i="2" s="1"/>
  <c r="E81" i="2"/>
  <c r="J80" i="2"/>
  <c r="F80" i="2"/>
  <c r="IR80" i="2" s="1"/>
  <c r="E80" i="2"/>
  <c r="J79" i="2"/>
  <c r="F79" i="2"/>
  <c r="IS79" i="2" s="1"/>
  <c r="E79" i="2"/>
  <c r="J78" i="2"/>
  <c r="F78" i="2"/>
  <c r="IR78" i="2" s="1"/>
  <c r="E78" i="2"/>
  <c r="J77" i="2"/>
  <c r="F77" i="2"/>
  <c r="IS77" i="2" s="1"/>
  <c r="E77" i="2"/>
  <c r="J76" i="2"/>
  <c r="K76" i="2" s="1"/>
  <c r="F76" i="2"/>
  <c r="IS76" i="2" s="1"/>
  <c r="H76" i="2" s="1"/>
  <c r="E76" i="2"/>
  <c r="J74" i="2"/>
  <c r="F74" i="2"/>
  <c r="E74" i="2"/>
  <c r="J73" i="2"/>
  <c r="F73" i="2"/>
  <c r="E73" i="2"/>
  <c r="J72" i="2"/>
  <c r="F72" i="2"/>
  <c r="IS72" i="2" s="1"/>
  <c r="E72" i="2"/>
  <c r="K72" i="2" s="1"/>
  <c r="J71" i="2"/>
  <c r="F71" i="2"/>
  <c r="IS71" i="2" s="1"/>
  <c r="E71" i="2"/>
  <c r="J70" i="2"/>
  <c r="F70" i="2"/>
  <c r="E70" i="2"/>
  <c r="J69" i="2"/>
  <c r="K69" i="2" s="1"/>
  <c r="F69" i="2"/>
  <c r="E69" i="2"/>
  <c r="J68" i="2"/>
  <c r="F68" i="2"/>
  <c r="IS68" i="2" s="1"/>
  <c r="E68" i="2"/>
  <c r="J67" i="2"/>
  <c r="F67" i="2"/>
  <c r="IR67" i="2" s="1"/>
  <c r="E67" i="2"/>
  <c r="J65" i="2"/>
  <c r="F65" i="2"/>
  <c r="IS65" i="2" s="1"/>
  <c r="E65" i="2"/>
  <c r="J64" i="2"/>
  <c r="F64" i="2"/>
  <c r="IR64" i="2" s="1"/>
  <c r="E64" i="2"/>
  <c r="J63" i="2"/>
  <c r="F63" i="2"/>
  <c r="E63" i="2"/>
  <c r="J62" i="2"/>
  <c r="K62" i="2" s="1"/>
  <c r="F62" i="2"/>
  <c r="E62" i="2"/>
  <c r="J60" i="2"/>
  <c r="K60" i="2" s="1"/>
  <c r="K59" i="2" s="1"/>
  <c r="F60" i="2"/>
  <c r="E60" i="2"/>
  <c r="J58" i="2"/>
  <c r="F58" i="2"/>
  <c r="IR58" i="2" s="1"/>
  <c r="E58" i="2"/>
  <c r="J57" i="2"/>
  <c r="F57" i="2"/>
  <c r="E57" i="2"/>
  <c r="J56" i="2"/>
  <c r="F56" i="2"/>
  <c r="E56" i="2"/>
  <c r="J54" i="2"/>
  <c r="F54" i="2"/>
  <c r="IS54" i="2" s="1"/>
  <c r="H54" i="2" s="1"/>
  <c r="E54" i="2"/>
  <c r="J53" i="2"/>
  <c r="F53" i="2"/>
  <c r="IR53" i="2" s="1"/>
  <c r="E53" i="2"/>
  <c r="K53" i="2" s="1"/>
  <c r="J52" i="2"/>
  <c r="F52" i="2"/>
  <c r="IR52" i="2" s="1"/>
  <c r="E52" i="2"/>
  <c r="K51" i="2"/>
  <c r="J51" i="2"/>
  <c r="F51" i="2"/>
  <c r="E51" i="2"/>
  <c r="J50" i="2"/>
  <c r="F50" i="2"/>
  <c r="IS50" i="2" s="1"/>
  <c r="H50" i="2" s="1"/>
  <c r="E50" i="2"/>
  <c r="J49" i="2"/>
  <c r="F49" i="2"/>
  <c r="IS49" i="2" s="1"/>
  <c r="E49" i="2"/>
  <c r="J48" i="2"/>
  <c r="K48" i="2" s="1"/>
  <c r="F48" i="2"/>
  <c r="IR48" i="2" s="1"/>
  <c r="G48" i="2" s="1"/>
  <c r="E48" i="2"/>
  <c r="J46" i="2"/>
  <c r="F46" i="2"/>
  <c r="E46" i="2"/>
  <c r="J45" i="2"/>
  <c r="F45" i="2"/>
  <c r="IS45" i="2" s="1"/>
  <c r="E45" i="2"/>
  <c r="K45" i="2" s="1"/>
  <c r="J44" i="2"/>
  <c r="F44" i="2"/>
  <c r="E44" i="2"/>
  <c r="J43" i="2"/>
  <c r="F43" i="2"/>
  <c r="E43" i="2"/>
  <c r="J41" i="2"/>
  <c r="F41" i="2"/>
  <c r="E41" i="2"/>
  <c r="J39" i="2"/>
  <c r="F39" i="2"/>
  <c r="IS39" i="2" s="1"/>
  <c r="E39" i="2"/>
  <c r="J38" i="2"/>
  <c r="F38" i="2"/>
  <c r="IS38" i="2" s="1"/>
  <c r="E38" i="2"/>
  <c r="J37" i="2"/>
  <c r="F37" i="2"/>
  <c r="E37" i="2"/>
  <c r="J36" i="2"/>
  <c r="K36" i="2" s="1"/>
  <c r="F36" i="2"/>
  <c r="E36" i="2"/>
  <c r="J35" i="2"/>
  <c r="K35" i="2" s="1"/>
  <c r="F35" i="2"/>
  <c r="E35" i="2"/>
  <c r="J34" i="2"/>
  <c r="K34" i="2" s="1"/>
  <c r="F34" i="2"/>
  <c r="IS34" i="2" s="1"/>
  <c r="H34" i="2" s="1"/>
  <c r="E34" i="2"/>
  <c r="J32" i="2"/>
  <c r="F32" i="2"/>
  <c r="IS32" i="2" s="1"/>
  <c r="E32" i="2"/>
  <c r="J31" i="2"/>
  <c r="F31" i="2"/>
  <c r="E31" i="2"/>
  <c r="J29" i="2"/>
  <c r="K29" i="2" s="1"/>
  <c r="K28" i="2" s="1"/>
  <c r="F29" i="2"/>
  <c r="E29" i="2"/>
  <c r="J27" i="2"/>
  <c r="F27" i="2"/>
  <c r="IS27" i="2" s="1"/>
  <c r="E27" i="2"/>
  <c r="J25" i="2"/>
  <c r="F25" i="2"/>
  <c r="IS25" i="2" s="1"/>
  <c r="E25" i="2"/>
  <c r="J24" i="2"/>
  <c r="F24" i="2"/>
  <c r="IR24" i="2" s="1"/>
  <c r="E24" i="2"/>
  <c r="J22" i="2"/>
  <c r="K22" i="2" s="1"/>
  <c r="K21" i="2" s="1"/>
  <c r="F22" i="2"/>
  <c r="E22" i="2"/>
  <c r="J20" i="2"/>
  <c r="K20" i="2" s="1"/>
  <c r="K19" i="2" s="1"/>
  <c r="F20" i="2"/>
  <c r="IS20" i="2" s="1"/>
  <c r="H20" i="2" s="1"/>
  <c r="H19" i="2" s="1"/>
  <c r="E20" i="2"/>
  <c r="J18" i="2"/>
  <c r="F18" i="2"/>
  <c r="IS18" i="2" s="1"/>
  <c r="E18" i="2"/>
  <c r="J16" i="2"/>
  <c r="F16" i="2"/>
  <c r="IR16" i="2" s="1"/>
  <c r="E16" i="2"/>
  <c r="J15" i="2"/>
  <c r="F15" i="2"/>
  <c r="E15" i="2"/>
  <c r="K14" i="2"/>
  <c r="J14" i="2"/>
  <c r="F14" i="2"/>
  <c r="E14" i="2"/>
  <c r="IS13" i="2"/>
  <c r="J13" i="2"/>
  <c r="F13" i="2"/>
  <c r="IR13" i="2" s="1"/>
  <c r="E13" i="2"/>
  <c r="J12" i="2"/>
  <c r="F12" i="2"/>
  <c r="IR12" i="2" s="1"/>
  <c r="E12" i="2"/>
  <c r="H8" i="2"/>
  <c r="F8" i="2"/>
  <c r="C8" i="2"/>
  <c r="H6" i="2"/>
  <c r="F6" i="2"/>
  <c r="C6" i="2"/>
  <c r="H4" i="2"/>
  <c r="F4" i="2"/>
  <c r="C4" i="2"/>
  <c r="H2" i="2"/>
  <c r="F2" i="2"/>
  <c r="C2" i="2"/>
  <c r="BW112" i="1"/>
  <c r="BJ112" i="1"/>
  <c r="BF112" i="1"/>
  <c r="BD112" i="1"/>
  <c r="AP112" i="1"/>
  <c r="BI112" i="1" s="1"/>
  <c r="AC112" i="1" s="1"/>
  <c r="AO112" i="1"/>
  <c r="AK112" i="1"/>
  <c r="AJ112" i="1"/>
  <c r="AH112" i="1"/>
  <c r="AG112" i="1"/>
  <c r="AF112" i="1"/>
  <c r="AE112" i="1"/>
  <c r="AD112" i="1"/>
  <c r="Z112" i="1"/>
  <c r="O112" i="1"/>
  <c r="L112" i="1"/>
  <c r="BW111" i="1"/>
  <c r="BJ111" i="1"/>
  <c r="BD111" i="1"/>
  <c r="AW111" i="1"/>
  <c r="AP111" i="1"/>
  <c r="AO111" i="1"/>
  <c r="BH111" i="1" s="1"/>
  <c r="AF111" i="1" s="1"/>
  <c r="AK111" i="1"/>
  <c r="AT110" i="1" s="1"/>
  <c r="AJ111" i="1"/>
  <c r="AS110" i="1" s="1"/>
  <c r="AH111" i="1"/>
  <c r="AE111" i="1"/>
  <c r="AD111" i="1"/>
  <c r="AC111" i="1"/>
  <c r="AB111" i="1"/>
  <c r="Z111" i="1"/>
  <c r="O111" i="1"/>
  <c r="BF111" i="1" s="1"/>
  <c r="M111" i="1"/>
  <c r="L111" i="1"/>
  <c r="AL111" i="1" s="1"/>
  <c r="J111" i="1"/>
  <c r="O110" i="1"/>
  <c r="G28" i="3" s="1"/>
  <c r="BW109" i="1"/>
  <c r="BJ109" i="1"/>
  <c r="Z109" i="1" s="1"/>
  <c r="BD109" i="1"/>
  <c r="AP109" i="1"/>
  <c r="BI109" i="1" s="1"/>
  <c r="AO109" i="1"/>
  <c r="BH109" i="1" s="1"/>
  <c r="AK109" i="1"/>
  <c r="AJ109" i="1"/>
  <c r="AH109" i="1"/>
  <c r="AG109" i="1"/>
  <c r="AF109" i="1"/>
  <c r="AE109" i="1"/>
  <c r="AD109" i="1"/>
  <c r="AC109" i="1"/>
  <c r="AB109" i="1"/>
  <c r="O109" i="1"/>
  <c r="BF109" i="1" s="1"/>
  <c r="L109" i="1"/>
  <c r="AL109" i="1" s="1"/>
  <c r="BW108" i="1"/>
  <c r="BJ108" i="1"/>
  <c r="Z108" i="1" s="1"/>
  <c r="BF108" i="1"/>
  <c r="BD108" i="1"/>
  <c r="AP108" i="1"/>
  <c r="BI108" i="1" s="1"/>
  <c r="AO108" i="1"/>
  <c r="BH108" i="1" s="1"/>
  <c r="AK108" i="1"/>
  <c r="AJ108" i="1"/>
  <c r="AH108" i="1"/>
  <c r="AG108" i="1"/>
  <c r="AF108" i="1"/>
  <c r="AE108" i="1"/>
  <c r="AD108" i="1"/>
  <c r="AC108" i="1"/>
  <c r="AB108" i="1"/>
  <c r="O108" i="1"/>
  <c r="L108" i="1"/>
  <c r="M108" i="1" s="1"/>
  <c r="K108" i="1"/>
  <c r="BW107" i="1"/>
  <c r="BJ107" i="1"/>
  <c r="Z107" i="1" s="1"/>
  <c r="BF107" i="1"/>
  <c r="BD107" i="1"/>
  <c r="AP107" i="1"/>
  <c r="BI107" i="1" s="1"/>
  <c r="AO107" i="1"/>
  <c r="AK107" i="1"/>
  <c r="AJ107" i="1"/>
  <c r="AH107" i="1"/>
  <c r="AG107" i="1"/>
  <c r="AF107" i="1"/>
  <c r="AE107" i="1"/>
  <c r="AD107" i="1"/>
  <c r="AC107" i="1"/>
  <c r="AB107" i="1"/>
  <c r="O107" i="1"/>
  <c r="L107" i="1"/>
  <c r="AL107" i="1" s="1"/>
  <c r="BW106" i="1"/>
  <c r="BJ106" i="1"/>
  <c r="Z106" i="1" s="1"/>
  <c r="BD106" i="1"/>
  <c r="AP106" i="1"/>
  <c r="AO106" i="1"/>
  <c r="BH106" i="1" s="1"/>
  <c r="AK106" i="1"/>
  <c r="AJ106" i="1"/>
  <c r="AH106" i="1"/>
  <c r="AG106" i="1"/>
  <c r="AF106" i="1"/>
  <c r="AE106" i="1"/>
  <c r="AD106" i="1"/>
  <c r="AC106" i="1"/>
  <c r="AB106" i="1"/>
  <c r="O106" i="1"/>
  <c r="BF106" i="1" s="1"/>
  <c r="L106" i="1"/>
  <c r="AL106" i="1" s="1"/>
  <c r="BW105" i="1"/>
  <c r="BJ105" i="1"/>
  <c r="BD105" i="1"/>
  <c r="AW105" i="1"/>
  <c r="AP105" i="1"/>
  <c r="AO105" i="1"/>
  <c r="BH105" i="1" s="1"/>
  <c r="AB105" i="1" s="1"/>
  <c r="AL105" i="1"/>
  <c r="AK105" i="1"/>
  <c r="AJ105" i="1"/>
  <c r="AH105" i="1"/>
  <c r="AG105" i="1"/>
  <c r="AF105" i="1"/>
  <c r="AE105" i="1"/>
  <c r="AD105" i="1"/>
  <c r="Z105" i="1"/>
  <c r="O105" i="1"/>
  <c r="BF105" i="1" s="1"/>
  <c r="L105" i="1"/>
  <c r="J105" i="1"/>
  <c r="BW104" i="1"/>
  <c r="BJ104" i="1"/>
  <c r="BF104" i="1"/>
  <c r="BD104" i="1"/>
  <c r="AP104" i="1"/>
  <c r="AX104" i="1" s="1"/>
  <c r="AO104" i="1"/>
  <c r="AK104" i="1"/>
  <c r="AJ104" i="1"/>
  <c r="AH104" i="1"/>
  <c r="AG104" i="1"/>
  <c r="AF104" i="1"/>
  <c r="AE104" i="1"/>
  <c r="AD104" i="1"/>
  <c r="Z104" i="1"/>
  <c r="O104" i="1"/>
  <c r="L104" i="1"/>
  <c r="AL104" i="1" s="1"/>
  <c r="BW103" i="1"/>
  <c r="BJ103" i="1"/>
  <c r="BF103" i="1"/>
  <c r="BD103" i="1"/>
  <c r="AP103" i="1"/>
  <c r="AO103" i="1"/>
  <c r="AK103" i="1"/>
  <c r="AJ103" i="1"/>
  <c r="AH103" i="1"/>
  <c r="AG103" i="1"/>
  <c r="AF103" i="1"/>
  <c r="AE103" i="1"/>
  <c r="AD103" i="1"/>
  <c r="Z103" i="1"/>
  <c r="O103" i="1"/>
  <c r="L103" i="1"/>
  <c r="AL103" i="1" s="1"/>
  <c r="K103" i="1"/>
  <c r="BW102" i="1"/>
  <c r="BJ102" i="1"/>
  <c r="BD102" i="1"/>
  <c r="AP102" i="1"/>
  <c r="AX102" i="1" s="1"/>
  <c r="AO102" i="1"/>
  <c r="BH102" i="1" s="1"/>
  <c r="AK102" i="1"/>
  <c r="AJ102" i="1"/>
  <c r="AH102" i="1"/>
  <c r="AG102" i="1"/>
  <c r="AF102" i="1"/>
  <c r="AE102" i="1"/>
  <c r="AD102" i="1"/>
  <c r="AB102" i="1"/>
  <c r="Z102" i="1"/>
  <c r="O102" i="1"/>
  <c r="BF102" i="1" s="1"/>
  <c r="L102" i="1"/>
  <c r="BW101" i="1"/>
  <c r="BJ101" i="1"/>
  <c r="BD101" i="1"/>
  <c r="AP101" i="1"/>
  <c r="AO101" i="1"/>
  <c r="BH101" i="1" s="1"/>
  <c r="AB101" i="1" s="1"/>
  <c r="AL101" i="1"/>
  <c r="AK101" i="1"/>
  <c r="AJ101" i="1"/>
  <c r="AH101" i="1"/>
  <c r="AG101" i="1"/>
  <c r="AF101" i="1"/>
  <c r="AE101" i="1"/>
  <c r="AD101" i="1"/>
  <c r="Z101" i="1"/>
  <c r="O101" i="1"/>
  <c r="BF101" i="1" s="1"/>
  <c r="L101" i="1"/>
  <c r="K101" i="1"/>
  <c r="BW100" i="1"/>
  <c r="BJ100" i="1"/>
  <c r="BD100" i="1"/>
  <c r="AP100" i="1"/>
  <c r="AO100" i="1"/>
  <c r="AK100" i="1"/>
  <c r="AJ100" i="1"/>
  <c r="AH100" i="1"/>
  <c r="AG100" i="1"/>
  <c r="AF100" i="1"/>
  <c r="AE100" i="1"/>
  <c r="AD100" i="1"/>
  <c r="Z100" i="1"/>
  <c r="O100" i="1"/>
  <c r="BF100" i="1" s="1"/>
  <c r="L100" i="1"/>
  <c r="AL100" i="1" s="1"/>
  <c r="BW99" i="1"/>
  <c r="BJ99" i="1"/>
  <c r="BD99" i="1"/>
  <c r="AW99" i="1"/>
  <c r="AP99" i="1"/>
  <c r="K99" i="1" s="1"/>
  <c r="AO99" i="1"/>
  <c r="BH99" i="1" s="1"/>
  <c r="AB99" i="1" s="1"/>
  <c r="AK99" i="1"/>
  <c r="AJ99" i="1"/>
  <c r="AH99" i="1"/>
  <c r="AG99" i="1"/>
  <c r="AF99" i="1"/>
  <c r="AE99" i="1"/>
  <c r="AD99" i="1"/>
  <c r="Z99" i="1"/>
  <c r="O99" i="1"/>
  <c r="BF99" i="1" s="1"/>
  <c r="L99" i="1"/>
  <c r="AL99" i="1" s="1"/>
  <c r="J99" i="1"/>
  <c r="BW98" i="1"/>
  <c r="BJ98" i="1"/>
  <c r="BF98" i="1"/>
  <c r="BD98" i="1"/>
  <c r="AP98" i="1"/>
  <c r="AX98" i="1" s="1"/>
  <c r="AO98" i="1"/>
  <c r="BH98" i="1" s="1"/>
  <c r="AK98" i="1"/>
  <c r="AJ98" i="1"/>
  <c r="AH98" i="1"/>
  <c r="AG98" i="1"/>
  <c r="AF98" i="1"/>
  <c r="AE98" i="1"/>
  <c r="AD98" i="1"/>
  <c r="AB98" i="1"/>
  <c r="Z98" i="1"/>
  <c r="O98" i="1"/>
  <c r="L98" i="1"/>
  <c r="K98" i="1"/>
  <c r="BW97" i="1"/>
  <c r="BJ97" i="1"/>
  <c r="BF97" i="1"/>
  <c r="BD97" i="1"/>
  <c r="AP97" i="1"/>
  <c r="K97" i="1" s="1"/>
  <c r="AO97" i="1"/>
  <c r="AK97" i="1"/>
  <c r="AJ97" i="1"/>
  <c r="AH97" i="1"/>
  <c r="AG97" i="1"/>
  <c r="AF97" i="1"/>
  <c r="AE97" i="1"/>
  <c r="AD97" i="1"/>
  <c r="Z97" i="1"/>
  <c r="O97" i="1"/>
  <c r="L97" i="1"/>
  <c r="AL97" i="1" s="1"/>
  <c r="BW96" i="1"/>
  <c r="BJ96" i="1"/>
  <c r="BI96" i="1"/>
  <c r="AC96" i="1" s="1"/>
  <c r="BD96" i="1"/>
  <c r="AP96" i="1"/>
  <c r="AO96" i="1"/>
  <c r="BH96" i="1" s="1"/>
  <c r="AK96" i="1"/>
  <c r="AJ96" i="1"/>
  <c r="AH96" i="1"/>
  <c r="AG96" i="1"/>
  <c r="AF96" i="1"/>
  <c r="AE96" i="1"/>
  <c r="AD96" i="1"/>
  <c r="AB96" i="1"/>
  <c r="Z96" i="1"/>
  <c r="O96" i="1"/>
  <c r="BF96" i="1" s="1"/>
  <c r="L96" i="1"/>
  <c r="AL96" i="1" s="1"/>
  <c r="J96" i="1"/>
  <c r="BW95" i="1"/>
  <c r="BJ95" i="1"/>
  <c r="BD95" i="1"/>
  <c r="AW95" i="1"/>
  <c r="AP95" i="1"/>
  <c r="K95" i="1" s="1"/>
  <c r="AO95" i="1"/>
  <c r="BH95" i="1" s="1"/>
  <c r="AB95" i="1" s="1"/>
  <c r="AK95" i="1"/>
  <c r="AJ95" i="1"/>
  <c r="AH95" i="1"/>
  <c r="AG95" i="1"/>
  <c r="AF95" i="1"/>
  <c r="AE95" i="1"/>
  <c r="AD95" i="1"/>
  <c r="Z95" i="1"/>
  <c r="O95" i="1"/>
  <c r="BF95" i="1" s="1"/>
  <c r="L95" i="1"/>
  <c r="AL95" i="1" s="1"/>
  <c r="J95" i="1"/>
  <c r="BW94" i="1"/>
  <c r="BJ94" i="1"/>
  <c r="BF94" i="1"/>
  <c r="BD94" i="1"/>
  <c r="AP94" i="1"/>
  <c r="K94" i="1" s="1"/>
  <c r="AO94" i="1"/>
  <c r="AK94" i="1"/>
  <c r="AJ94" i="1"/>
  <c r="AH94" i="1"/>
  <c r="AG94" i="1"/>
  <c r="AF94" i="1"/>
  <c r="AE94" i="1"/>
  <c r="AD94" i="1"/>
  <c r="Z94" i="1"/>
  <c r="O94" i="1"/>
  <c r="L94" i="1"/>
  <c r="BW93" i="1"/>
  <c r="BJ93" i="1"/>
  <c r="BF93" i="1"/>
  <c r="BD93" i="1"/>
  <c r="AP93" i="1"/>
  <c r="AO93" i="1"/>
  <c r="AK93" i="1"/>
  <c r="AJ93" i="1"/>
  <c r="AH93" i="1"/>
  <c r="AG93" i="1"/>
  <c r="AF93" i="1"/>
  <c r="AE93" i="1"/>
  <c r="AD93" i="1"/>
  <c r="Z93" i="1"/>
  <c r="O93" i="1"/>
  <c r="L93" i="1"/>
  <c r="AL93" i="1" s="1"/>
  <c r="K93" i="1"/>
  <c r="BW92" i="1"/>
  <c r="BJ92" i="1"/>
  <c r="BI92" i="1"/>
  <c r="AC92" i="1" s="1"/>
  <c r="BD92" i="1"/>
  <c r="AW92" i="1"/>
  <c r="BC92" i="1" s="1"/>
  <c r="AP92" i="1"/>
  <c r="AX92" i="1" s="1"/>
  <c r="AO92" i="1"/>
  <c r="BH92" i="1" s="1"/>
  <c r="AK92" i="1"/>
  <c r="AJ92" i="1"/>
  <c r="AH92" i="1"/>
  <c r="AG92" i="1"/>
  <c r="AF92" i="1"/>
  <c r="AE92" i="1"/>
  <c r="AD92" i="1"/>
  <c r="AB92" i="1"/>
  <c r="Z92" i="1"/>
  <c r="O92" i="1"/>
  <c r="BF92" i="1" s="1"/>
  <c r="L92" i="1"/>
  <c r="K92" i="1"/>
  <c r="J92" i="1"/>
  <c r="BW91" i="1"/>
  <c r="BJ91" i="1"/>
  <c r="BF91" i="1"/>
  <c r="BD91" i="1"/>
  <c r="AP91" i="1"/>
  <c r="AO91" i="1"/>
  <c r="AK91" i="1"/>
  <c r="AJ91" i="1"/>
  <c r="AH91" i="1"/>
  <c r="AG91" i="1"/>
  <c r="AF91" i="1"/>
  <c r="AE91" i="1"/>
  <c r="AD91" i="1"/>
  <c r="Z91" i="1"/>
  <c r="O91" i="1"/>
  <c r="L91" i="1"/>
  <c r="AL91" i="1" s="1"/>
  <c r="K91" i="1"/>
  <c r="BW90" i="1"/>
  <c r="BJ90" i="1"/>
  <c r="BD90" i="1"/>
  <c r="AP90" i="1"/>
  <c r="AX90" i="1" s="1"/>
  <c r="AO90" i="1"/>
  <c r="BH90" i="1" s="1"/>
  <c r="AK90" i="1"/>
  <c r="AJ90" i="1"/>
  <c r="AH90" i="1"/>
  <c r="AG90" i="1"/>
  <c r="AF90" i="1"/>
  <c r="AE90" i="1"/>
  <c r="AD90" i="1"/>
  <c r="AB90" i="1"/>
  <c r="Z90" i="1"/>
  <c r="O90" i="1"/>
  <c r="BF90" i="1" s="1"/>
  <c r="L90" i="1"/>
  <c r="BW89" i="1"/>
  <c r="BJ89" i="1"/>
  <c r="BD89" i="1"/>
  <c r="AP89" i="1"/>
  <c r="K89" i="1" s="1"/>
  <c r="AO89" i="1"/>
  <c r="BH89" i="1" s="1"/>
  <c r="AB89" i="1" s="1"/>
  <c r="AL89" i="1"/>
  <c r="AK89" i="1"/>
  <c r="AJ89" i="1"/>
  <c r="AH89" i="1"/>
  <c r="AG89" i="1"/>
  <c r="AF89" i="1"/>
  <c r="AE89" i="1"/>
  <c r="AD89" i="1"/>
  <c r="Z89" i="1"/>
  <c r="O89" i="1"/>
  <c r="BF89" i="1" s="1"/>
  <c r="L89" i="1"/>
  <c r="J89" i="1"/>
  <c r="BW88" i="1"/>
  <c r="BJ88" i="1"/>
  <c r="BD88" i="1"/>
  <c r="AW88" i="1"/>
  <c r="BC88" i="1" s="1"/>
  <c r="AP88" i="1"/>
  <c r="AX88" i="1" s="1"/>
  <c r="AO88" i="1"/>
  <c r="BH88" i="1" s="1"/>
  <c r="AK88" i="1"/>
  <c r="AJ88" i="1"/>
  <c r="AH88" i="1"/>
  <c r="AG88" i="1"/>
  <c r="AF88" i="1"/>
  <c r="AE88" i="1"/>
  <c r="AD88" i="1"/>
  <c r="AB88" i="1"/>
  <c r="Z88" i="1"/>
  <c r="O88" i="1"/>
  <c r="BF88" i="1" s="1"/>
  <c r="L88" i="1"/>
  <c r="M88" i="1" s="1"/>
  <c r="K88" i="1"/>
  <c r="J88" i="1"/>
  <c r="BW87" i="1"/>
  <c r="BJ87" i="1"/>
  <c r="BD87" i="1"/>
  <c r="AW87" i="1"/>
  <c r="AP87" i="1"/>
  <c r="K87" i="1" s="1"/>
  <c r="AO87" i="1"/>
  <c r="BH87" i="1" s="1"/>
  <c r="AB87" i="1" s="1"/>
  <c r="AK87" i="1"/>
  <c r="AJ87" i="1"/>
  <c r="AH87" i="1"/>
  <c r="AG87" i="1"/>
  <c r="AF87" i="1"/>
  <c r="AE87" i="1"/>
  <c r="AD87" i="1"/>
  <c r="Z87" i="1"/>
  <c r="O87" i="1"/>
  <c r="BF87" i="1" s="1"/>
  <c r="L87" i="1"/>
  <c r="AL87" i="1" s="1"/>
  <c r="J87" i="1"/>
  <c r="BW86" i="1"/>
  <c r="BJ86" i="1"/>
  <c r="BD86" i="1"/>
  <c r="AP86" i="1"/>
  <c r="AX86" i="1" s="1"/>
  <c r="AO86" i="1"/>
  <c r="BH86" i="1" s="1"/>
  <c r="AK86" i="1"/>
  <c r="AJ86" i="1"/>
  <c r="AH86" i="1"/>
  <c r="AG86" i="1"/>
  <c r="AF86" i="1"/>
  <c r="AE86" i="1"/>
  <c r="AD86" i="1"/>
  <c r="AB86" i="1"/>
  <c r="Z86" i="1"/>
  <c r="O86" i="1"/>
  <c r="BF86" i="1" s="1"/>
  <c r="L86" i="1"/>
  <c r="K86" i="1"/>
  <c r="BW85" i="1"/>
  <c r="BJ85" i="1"/>
  <c r="BF85" i="1"/>
  <c r="BD85" i="1"/>
  <c r="AP85" i="1"/>
  <c r="K85" i="1" s="1"/>
  <c r="AO85" i="1"/>
  <c r="AL85" i="1"/>
  <c r="AK85" i="1"/>
  <c r="AJ85" i="1"/>
  <c r="AH85" i="1"/>
  <c r="AG85" i="1"/>
  <c r="AF85" i="1"/>
  <c r="AE85" i="1"/>
  <c r="AD85" i="1"/>
  <c r="Z85" i="1"/>
  <c r="O85" i="1"/>
  <c r="L85" i="1"/>
  <c r="J85" i="1"/>
  <c r="BW84" i="1"/>
  <c r="BJ84" i="1"/>
  <c r="BF84" i="1"/>
  <c r="BD84" i="1"/>
  <c r="AP84" i="1"/>
  <c r="AX84" i="1" s="1"/>
  <c r="AO84" i="1"/>
  <c r="J84" i="1" s="1"/>
  <c r="AK84" i="1"/>
  <c r="AJ84" i="1"/>
  <c r="AH84" i="1"/>
  <c r="AG84" i="1"/>
  <c r="AF84" i="1"/>
  <c r="AE84" i="1"/>
  <c r="AD84" i="1"/>
  <c r="Z84" i="1"/>
  <c r="O84" i="1"/>
  <c r="M84" i="1"/>
  <c r="L84" i="1"/>
  <c r="AL84" i="1" s="1"/>
  <c r="BW83" i="1"/>
  <c r="BJ83" i="1"/>
  <c r="BD83" i="1"/>
  <c r="AP83" i="1"/>
  <c r="K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BF83" i="1" s="1"/>
  <c r="L83" i="1"/>
  <c r="AL83" i="1" s="1"/>
  <c r="BW82" i="1"/>
  <c r="BJ82" i="1"/>
  <c r="BF82" i="1"/>
  <c r="BD82" i="1"/>
  <c r="AP82" i="1"/>
  <c r="AO82" i="1"/>
  <c r="AK82" i="1"/>
  <c r="AJ82" i="1"/>
  <c r="AH82" i="1"/>
  <c r="AG82" i="1"/>
  <c r="AF82" i="1"/>
  <c r="AE82" i="1"/>
  <c r="AD82" i="1"/>
  <c r="Z82" i="1"/>
  <c r="O82" i="1"/>
  <c r="L82" i="1"/>
  <c r="K82" i="1"/>
  <c r="BW81" i="1"/>
  <c r="BJ81" i="1"/>
  <c r="BD81" i="1"/>
  <c r="AP81" i="1"/>
  <c r="K81" i="1" s="1"/>
  <c r="AO81" i="1"/>
  <c r="BH81" i="1" s="1"/>
  <c r="AB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J81" i="1"/>
  <c r="BW80" i="1"/>
  <c r="BJ80" i="1"/>
  <c r="BD80" i="1"/>
  <c r="AP80" i="1"/>
  <c r="AX80" i="1" s="1"/>
  <c r="AO80" i="1"/>
  <c r="BH80" i="1" s="1"/>
  <c r="AB80" i="1" s="1"/>
  <c r="AK80" i="1"/>
  <c r="AJ80" i="1"/>
  <c r="AH80" i="1"/>
  <c r="AG80" i="1"/>
  <c r="AF80" i="1"/>
  <c r="AE80" i="1"/>
  <c r="AD80" i="1"/>
  <c r="Z80" i="1"/>
  <c r="O80" i="1"/>
  <c r="BF80" i="1" s="1"/>
  <c r="L80" i="1"/>
  <c r="AL80" i="1" s="1"/>
  <c r="K80" i="1"/>
  <c r="J80" i="1"/>
  <c r="BW79" i="1"/>
  <c r="BJ79" i="1"/>
  <c r="BF79" i="1"/>
  <c r="BD79" i="1"/>
  <c r="AP79" i="1"/>
  <c r="AO79" i="1"/>
  <c r="AL79" i="1"/>
  <c r="AK79" i="1"/>
  <c r="AJ79" i="1"/>
  <c r="AH79" i="1"/>
  <c r="AE79" i="1"/>
  <c r="AD79" i="1"/>
  <c r="AC79" i="1"/>
  <c r="AB79" i="1"/>
  <c r="Z79" i="1"/>
  <c r="O79" i="1"/>
  <c r="L79" i="1"/>
  <c r="K79" i="1"/>
  <c r="BW78" i="1"/>
  <c r="BJ78" i="1"/>
  <c r="BD78" i="1"/>
  <c r="AP78" i="1"/>
  <c r="AX78" i="1" s="1"/>
  <c r="AO78" i="1"/>
  <c r="BH78" i="1" s="1"/>
  <c r="AK78" i="1"/>
  <c r="AJ78" i="1"/>
  <c r="AH78" i="1"/>
  <c r="AF78" i="1"/>
  <c r="AE78" i="1"/>
  <c r="AD78" i="1"/>
  <c r="AC78" i="1"/>
  <c r="AB78" i="1"/>
  <c r="Z78" i="1"/>
  <c r="O78" i="1"/>
  <c r="L78" i="1"/>
  <c r="J78" i="1"/>
  <c r="BW77" i="1"/>
  <c r="BJ77" i="1"/>
  <c r="BD77" i="1"/>
  <c r="AP77" i="1"/>
  <c r="AO77" i="1"/>
  <c r="BH77" i="1" s="1"/>
  <c r="AF77" i="1" s="1"/>
  <c r="AK77" i="1"/>
  <c r="AJ77" i="1"/>
  <c r="AH77" i="1"/>
  <c r="AE77" i="1"/>
  <c r="AD77" i="1"/>
  <c r="AC77" i="1"/>
  <c r="AB77" i="1"/>
  <c r="Z77" i="1"/>
  <c r="O77" i="1"/>
  <c r="BF77" i="1" s="1"/>
  <c r="L77" i="1"/>
  <c r="AL77" i="1" s="1"/>
  <c r="J77" i="1"/>
  <c r="BW75" i="1"/>
  <c r="BJ75" i="1"/>
  <c r="BD75" i="1"/>
  <c r="AX75" i="1"/>
  <c r="AP75" i="1"/>
  <c r="BI75" i="1" s="1"/>
  <c r="AG75" i="1" s="1"/>
  <c r="AO75" i="1"/>
  <c r="AW75" i="1" s="1"/>
  <c r="BC75" i="1" s="1"/>
  <c r="AK75" i="1"/>
  <c r="AJ75" i="1"/>
  <c r="AH75" i="1"/>
  <c r="AE75" i="1"/>
  <c r="AD75" i="1"/>
  <c r="AC75" i="1"/>
  <c r="AB75" i="1"/>
  <c r="Z75" i="1"/>
  <c r="O75" i="1"/>
  <c r="BF75" i="1" s="1"/>
  <c r="L75" i="1"/>
  <c r="M75" i="1" s="1"/>
  <c r="K75" i="1"/>
  <c r="BW74" i="1"/>
  <c r="BJ74" i="1"/>
  <c r="BD74" i="1"/>
  <c r="AP74" i="1"/>
  <c r="AX74" i="1" s="1"/>
  <c r="AO74" i="1"/>
  <c r="BH74" i="1" s="1"/>
  <c r="AF74" i="1" s="1"/>
  <c r="AK74" i="1"/>
  <c r="AJ74" i="1"/>
  <c r="AH74" i="1"/>
  <c r="AE74" i="1"/>
  <c r="AD74" i="1"/>
  <c r="AC74" i="1"/>
  <c r="AB74" i="1"/>
  <c r="Z74" i="1"/>
  <c r="O74" i="1"/>
  <c r="BF74" i="1" s="1"/>
  <c r="L74" i="1"/>
  <c r="K74" i="1"/>
  <c r="BW73" i="1"/>
  <c r="BJ73" i="1"/>
  <c r="BD73" i="1"/>
  <c r="AP73" i="1"/>
  <c r="AO73" i="1"/>
  <c r="AK73" i="1"/>
  <c r="AJ73" i="1"/>
  <c r="AH73" i="1"/>
  <c r="AE73" i="1"/>
  <c r="AD73" i="1"/>
  <c r="AC73" i="1"/>
  <c r="AB73" i="1"/>
  <c r="Z73" i="1"/>
  <c r="O73" i="1"/>
  <c r="BF73" i="1" s="1"/>
  <c r="L73" i="1"/>
  <c r="BW72" i="1"/>
  <c r="BJ72" i="1"/>
  <c r="BD72" i="1"/>
  <c r="AP72" i="1"/>
  <c r="K72" i="1" s="1"/>
  <c r="AO72" i="1"/>
  <c r="AL72" i="1"/>
  <c r="AK72" i="1"/>
  <c r="AJ72" i="1"/>
  <c r="AH72" i="1"/>
  <c r="AE72" i="1"/>
  <c r="AD72" i="1"/>
  <c r="AC72" i="1"/>
  <c r="AB72" i="1"/>
  <c r="Z72" i="1"/>
  <c r="O72" i="1"/>
  <c r="BF72" i="1" s="1"/>
  <c r="L72" i="1"/>
  <c r="M72" i="1" s="1"/>
  <c r="BW71" i="1"/>
  <c r="BJ71" i="1"/>
  <c r="BD71" i="1"/>
  <c r="AP71" i="1"/>
  <c r="BI71" i="1" s="1"/>
  <c r="AG71" i="1" s="1"/>
  <c r="AO71" i="1"/>
  <c r="AW71" i="1" s="1"/>
  <c r="AK71" i="1"/>
  <c r="AJ71" i="1"/>
  <c r="AH71" i="1"/>
  <c r="AE71" i="1"/>
  <c r="AD71" i="1"/>
  <c r="AC71" i="1"/>
  <c r="AB71" i="1"/>
  <c r="Z71" i="1"/>
  <c r="O71" i="1"/>
  <c r="BF71" i="1" s="1"/>
  <c r="M71" i="1"/>
  <c r="L71" i="1"/>
  <c r="AL71" i="1" s="1"/>
  <c r="BW70" i="1"/>
  <c r="BJ70" i="1"/>
  <c r="BD70" i="1"/>
  <c r="AX70" i="1"/>
  <c r="BC70" i="1" s="1"/>
  <c r="AP70" i="1"/>
  <c r="BI70" i="1" s="1"/>
  <c r="AG70" i="1" s="1"/>
  <c r="AO70" i="1"/>
  <c r="AW70" i="1" s="1"/>
  <c r="AL70" i="1"/>
  <c r="AK70" i="1"/>
  <c r="AJ70" i="1"/>
  <c r="AH70" i="1"/>
  <c r="AE70" i="1"/>
  <c r="AD70" i="1"/>
  <c r="AC70" i="1"/>
  <c r="AB70" i="1"/>
  <c r="Z70" i="1"/>
  <c r="O70" i="1"/>
  <c r="BF70" i="1" s="1"/>
  <c r="L70" i="1"/>
  <c r="M70" i="1" s="1"/>
  <c r="K70" i="1"/>
  <c r="J70" i="1"/>
  <c r="BW69" i="1"/>
  <c r="BJ69" i="1"/>
  <c r="BD69" i="1"/>
  <c r="AP69" i="1"/>
  <c r="AO69" i="1"/>
  <c r="AW69" i="1" s="1"/>
  <c r="AK69" i="1"/>
  <c r="AJ69" i="1"/>
  <c r="AH69" i="1"/>
  <c r="AE69" i="1"/>
  <c r="AD69" i="1"/>
  <c r="AC69" i="1"/>
  <c r="AB69" i="1"/>
  <c r="Z69" i="1"/>
  <c r="O69" i="1"/>
  <c r="BF69" i="1" s="1"/>
  <c r="L69" i="1"/>
  <c r="M69" i="1" s="1"/>
  <c r="J69" i="1"/>
  <c r="BW68" i="1"/>
  <c r="BJ68" i="1"/>
  <c r="BD68" i="1"/>
  <c r="AP68" i="1"/>
  <c r="K68" i="1" s="1"/>
  <c r="AO68" i="1"/>
  <c r="AK68" i="1"/>
  <c r="AJ68" i="1"/>
  <c r="AH68" i="1"/>
  <c r="AE68" i="1"/>
  <c r="AD68" i="1"/>
  <c r="AC68" i="1"/>
  <c r="AB68" i="1"/>
  <c r="Z68" i="1"/>
  <c r="O68" i="1"/>
  <c r="BF68" i="1" s="1"/>
  <c r="M68" i="1"/>
  <c r="L68" i="1"/>
  <c r="AL68" i="1" s="1"/>
  <c r="BW66" i="1"/>
  <c r="BJ66" i="1"/>
  <c r="BD66" i="1"/>
  <c r="AP66" i="1"/>
  <c r="AO66" i="1"/>
  <c r="AW66" i="1" s="1"/>
  <c r="AK66" i="1"/>
  <c r="AJ66" i="1"/>
  <c r="AH66" i="1"/>
  <c r="AG66" i="1"/>
  <c r="AF66" i="1"/>
  <c r="AE66" i="1"/>
  <c r="AD66" i="1"/>
  <c r="AC66" i="1"/>
  <c r="AB66" i="1"/>
  <c r="Z66" i="1"/>
  <c r="O66" i="1"/>
  <c r="BF66" i="1" s="1"/>
  <c r="L66" i="1"/>
  <c r="AL66" i="1" s="1"/>
  <c r="K66" i="1"/>
  <c r="J66" i="1"/>
  <c r="BW65" i="1"/>
  <c r="BJ65" i="1"/>
  <c r="BD65" i="1"/>
  <c r="AP65" i="1"/>
  <c r="BI65" i="1" s="1"/>
  <c r="AC65" i="1" s="1"/>
  <c r="AO65" i="1"/>
  <c r="AK65" i="1"/>
  <c r="AJ65" i="1"/>
  <c r="AH65" i="1"/>
  <c r="AG65" i="1"/>
  <c r="AF65" i="1"/>
  <c r="AE65" i="1"/>
  <c r="AD65" i="1"/>
  <c r="Z65" i="1"/>
  <c r="O65" i="1"/>
  <c r="BF65" i="1" s="1"/>
  <c r="L65" i="1"/>
  <c r="K65" i="1"/>
  <c r="BW64" i="1"/>
  <c r="BJ64" i="1"/>
  <c r="BD64" i="1"/>
  <c r="AP64" i="1"/>
  <c r="K64" i="1" s="1"/>
  <c r="AO64" i="1"/>
  <c r="AK64" i="1"/>
  <c r="AJ64" i="1"/>
  <c r="AH64" i="1"/>
  <c r="AG64" i="1"/>
  <c r="AF64" i="1"/>
  <c r="AE64" i="1"/>
  <c r="AD64" i="1"/>
  <c r="Z64" i="1"/>
  <c r="O64" i="1"/>
  <c r="L64" i="1"/>
  <c r="BW63" i="1"/>
  <c r="BJ63" i="1"/>
  <c r="BD63" i="1"/>
  <c r="AP63" i="1"/>
  <c r="AO63" i="1"/>
  <c r="BH63" i="1" s="1"/>
  <c r="AB63" i="1" s="1"/>
  <c r="AK63" i="1"/>
  <c r="AJ63" i="1"/>
  <c r="AH63" i="1"/>
  <c r="AG63" i="1"/>
  <c r="AF63" i="1"/>
  <c r="AE63" i="1"/>
  <c r="AD63" i="1"/>
  <c r="Z63" i="1"/>
  <c r="O63" i="1"/>
  <c r="BF63" i="1" s="1"/>
  <c r="L63" i="1"/>
  <c r="AL63" i="1" s="1"/>
  <c r="BW61" i="1"/>
  <c r="BJ61" i="1"/>
  <c r="BD61" i="1"/>
  <c r="AP61" i="1"/>
  <c r="AO61" i="1"/>
  <c r="AK61" i="1"/>
  <c r="AJ61" i="1"/>
  <c r="AS60" i="1" s="1"/>
  <c r="AH61" i="1"/>
  <c r="AG61" i="1"/>
  <c r="AF61" i="1"/>
  <c r="AE61" i="1"/>
  <c r="AD61" i="1"/>
  <c r="Z61" i="1"/>
  <c r="O61" i="1"/>
  <c r="BF61" i="1" s="1"/>
  <c r="L61" i="1"/>
  <c r="AL61" i="1" s="1"/>
  <c r="AU60" i="1" s="1"/>
  <c r="AT60" i="1"/>
  <c r="O60" i="1"/>
  <c r="G24" i="3" s="1"/>
  <c r="BW59" i="1"/>
  <c r="BJ59" i="1"/>
  <c r="BD59" i="1"/>
  <c r="AP59" i="1"/>
  <c r="BI59" i="1" s="1"/>
  <c r="AC59" i="1" s="1"/>
  <c r="AO59" i="1"/>
  <c r="AW59" i="1" s="1"/>
  <c r="AK59" i="1"/>
  <c r="AJ59" i="1"/>
  <c r="AH59" i="1"/>
  <c r="AG59" i="1"/>
  <c r="AF59" i="1"/>
  <c r="AE59" i="1"/>
  <c r="AD59" i="1"/>
  <c r="Z59" i="1"/>
  <c r="O59" i="1"/>
  <c r="BF59" i="1" s="1"/>
  <c r="M59" i="1"/>
  <c r="L59" i="1"/>
  <c r="AL59" i="1" s="1"/>
  <c r="BW58" i="1"/>
  <c r="BJ58" i="1"/>
  <c r="BD58" i="1"/>
  <c r="AX58" i="1"/>
  <c r="AP58" i="1"/>
  <c r="K58" i="1" s="1"/>
  <c r="AO58" i="1"/>
  <c r="AW58" i="1" s="1"/>
  <c r="AK58" i="1"/>
  <c r="AJ58" i="1"/>
  <c r="AH58" i="1"/>
  <c r="AG58" i="1"/>
  <c r="AF58" i="1"/>
  <c r="AE58" i="1"/>
  <c r="AD58" i="1"/>
  <c r="Z58" i="1"/>
  <c r="O58" i="1"/>
  <c r="BF58" i="1" s="1"/>
  <c r="L58" i="1"/>
  <c r="AL58" i="1" s="1"/>
  <c r="J58" i="1"/>
  <c r="BW57" i="1"/>
  <c r="BJ57" i="1"/>
  <c r="BD57" i="1"/>
  <c r="AP57" i="1"/>
  <c r="AO57" i="1"/>
  <c r="AW57" i="1" s="1"/>
  <c r="AK57" i="1"/>
  <c r="AT56" i="1" s="1"/>
  <c r="AJ57" i="1"/>
  <c r="AH57" i="1"/>
  <c r="AG57" i="1"/>
  <c r="AF57" i="1"/>
  <c r="AE57" i="1"/>
  <c r="AD57" i="1"/>
  <c r="Z57" i="1"/>
  <c r="O57" i="1"/>
  <c r="BF57" i="1" s="1"/>
  <c r="L57" i="1"/>
  <c r="AL57" i="1" s="1"/>
  <c r="AU56" i="1" s="1"/>
  <c r="BW55" i="1"/>
  <c r="BJ55" i="1"/>
  <c r="Z55" i="1" s="1"/>
  <c r="BD55" i="1"/>
  <c r="AP55" i="1"/>
  <c r="BI55" i="1" s="1"/>
  <c r="AO55" i="1"/>
  <c r="AW55" i="1" s="1"/>
  <c r="AK55" i="1"/>
  <c r="AJ55" i="1"/>
  <c r="AH55" i="1"/>
  <c r="AG55" i="1"/>
  <c r="AF55" i="1"/>
  <c r="AE55" i="1"/>
  <c r="AD55" i="1"/>
  <c r="AC55" i="1"/>
  <c r="AB55" i="1"/>
  <c r="O55" i="1"/>
  <c r="BF55" i="1" s="1"/>
  <c r="M55" i="1"/>
  <c r="L55" i="1"/>
  <c r="AL55" i="1" s="1"/>
  <c r="K55" i="1"/>
  <c r="BW54" i="1"/>
  <c r="M54" i="1" s="1"/>
  <c r="BJ54" i="1"/>
  <c r="BD54" i="1"/>
  <c r="AP54" i="1"/>
  <c r="K54" i="1" s="1"/>
  <c r="AO54" i="1"/>
  <c r="BH54" i="1" s="1"/>
  <c r="AD54" i="1" s="1"/>
  <c r="AK54" i="1"/>
  <c r="AJ54" i="1"/>
  <c r="AH54" i="1"/>
  <c r="AG54" i="1"/>
  <c r="AF54" i="1"/>
  <c r="AC54" i="1"/>
  <c r="AB54" i="1"/>
  <c r="Z54" i="1"/>
  <c r="O54" i="1"/>
  <c r="BF54" i="1" s="1"/>
  <c r="L54" i="1"/>
  <c r="AL54" i="1" s="1"/>
  <c r="J54" i="1"/>
  <c r="BW53" i="1"/>
  <c r="BJ53" i="1"/>
  <c r="BD53" i="1"/>
  <c r="AP53" i="1"/>
  <c r="AX53" i="1" s="1"/>
  <c r="AO53" i="1"/>
  <c r="J53" i="1" s="1"/>
  <c r="AK53" i="1"/>
  <c r="AJ53" i="1"/>
  <c r="AH53" i="1"/>
  <c r="AG53" i="1"/>
  <c r="AF53" i="1"/>
  <c r="AC53" i="1"/>
  <c r="AB53" i="1"/>
  <c r="Z53" i="1"/>
  <c r="O53" i="1"/>
  <c r="BF53" i="1" s="1"/>
  <c r="M53" i="1"/>
  <c r="L53" i="1"/>
  <c r="AL53" i="1" s="1"/>
  <c r="BW52" i="1"/>
  <c r="BJ52" i="1"/>
  <c r="BD52" i="1"/>
  <c r="AP52" i="1"/>
  <c r="AO52" i="1"/>
  <c r="AW52" i="1" s="1"/>
  <c r="AK52" i="1"/>
  <c r="AJ52" i="1"/>
  <c r="AH52" i="1"/>
  <c r="AG52" i="1"/>
  <c r="AF52" i="1"/>
  <c r="AC52" i="1"/>
  <c r="AB52" i="1"/>
  <c r="Z52" i="1"/>
  <c r="O52" i="1"/>
  <c r="BF52" i="1" s="1"/>
  <c r="M52" i="1"/>
  <c r="L52" i="1"/>
  <c r="AL52" i="1" s="1"/>
  <c r="BW51" i="1"/>
  <c r="BJ51" i="1"/>
  <c r="BH51" i="1"/>
  <c r="AD51" i="1" s="1"/>
  <c r="BD51" i="1"/>
  <c r="AX51" i="1"/>
  <c r="AW51" i="1"/>
  <c r="AP51" i="1"/>
  <c r="BI51" i="1" s="1"/>
  <c r="AE51" i="1" s="1"/>
  <c r="AO51" i="1"/>
  <c r="AL51" i="1"/>
  <c r="AK51" i="1"/>
  <c r="AJ51" i="1"/>
  <c r="AH51" i="1"/>
  <c r="AG51" i="1"/>
  <c r="AF51" i="1"/>
  <c r="AC51" i="1"/>
  <c r="AB51" i="1"/>
  <c r="Z51" i="1"/>
  <c r="O51" i="1"/>
  <c r="BF51" i="1" s="1"/>
  <c r="L51" i="1"/>
  <c r="J51" i="1"/>
  <c r="BW50" i="1"/>
  <c r="BJ50" i="1"/>
  <c r="BD50" i="1"/>
  <c r="AW50" i="1"/>
  <c r="AP50" i="1"/>
  <c r="AO50" i="1"/>
  <c r="BH50" i="1" s="1"/>
  <c r="AD50" i="1" s="1"/>
  <c r="AK50" i="1"/>
  <c r="AJ50" i="1"/>
  <c r="AH50" i="1"/>
  <c r="AG50" i="1"/>
  <c r="AF50" i="1"/>
  <c r="AC50" i="1"/>
  <c r="AB50" i="1"/>
  <c r="Z50" i="1"/>
  <c r="O50" i="1"/>
  <c r="BF50" i="1" s="1"/>
  <c r="L50" i="1"/>
  <c r="AL50" i="1" s="1"/>
  <c r="J50" i="1"/>
  <c r="BW49" i="1"/>
  <c r="BJ49" i="1"/>
  <c r="BD49" i="1"/>
  <c r="AP49" i="1"/>
  <c r="AX49" i="1" s="1"/>
  <c r="AO49" i="1"/>
  <c r="J49" i="1" s="1"/>
  <c r="AK49" i="1"/>
  <c r="AJ49" i="1"/>
  <c r="AH49" i="1"/>
  <c r="AG49" i="1"/>
  <c r="AF49" i="1"/>
  <c r="AC49" i="1"/>
  <c r="AB49" i="1"/>
  <c r="Z49" i="1"/>
  <c r="O49" i="1"/>
  <c r="BF49" i="1" s="1"/>
  <c r="L49" i="1"/>
  <c r="K49" i="1"/>
  <c r="O48" i="1"/>
  <c r="G22" i="3" s="1"/>
  <c r="BW47" i="1"/>
  <c r="BJ47" i="1"/>
  <c r="BD47" i="1"/>
  <c r="AP47" i="1"/>
  <c r="AX47" i="1" s="1"/>
  <c r="AO47" i="1"/>
  <c r="AW47" i="1" s="1"/>
  <c r="AK47" i="1"/>
  <c r="AJ47" i="1"/>
  <c r="AH47" i="1"/>
  <c r="AG47" i="1"/>
  <c r="AF47" i="1"/>
  <c r="AE47" i="1"/>
  <c r="AD47" i="1"/>
  <c r="AC47" i="1"/>
  <c r="AB47" i="1"/>
  <c r="Z47" i="1"/>
  <c r="O47" i="1"/>
  <c r="BF47" i="1" s="1"/>
  <c r="L47" i="1"/>
  <c r="AL47" i="1" s="1"/>
  <c r="K47" i="1"/>
  <c r="J47" i="1"/>
  <c r="BW46" i="1"/>
  <c r="BJ46" i="1"/>
  <c r="BF46" i="1"/>
  <c r="BD46" i="1"/>
  <c r="AP46" i="1"/>
  <c r="AO46" i="1"/>
  <c r="BH46" i="1" s="1"/>
  <c r="AD46" i="1" s="1"/>
  <c r="AK46" i="1"/>
  <c r="AJ46" i="1"/>
  <c r="AH46" i="1"/>
  <c r="AG46" i="1"/>
  <c r="AF46" i="1"/>
  <c r="AC46" i="1"/>
  <c r="AB46" i="1"/>
  <c r="Z46" i="1"/>
  <c r="O46" i="1"/>
  <c r="L46" i="1"/>
  <c r="AL46" i="1" s="1"/>
  <c r="BW45" i="1"/>
  <c r="BJ45" i="1"/>
  <c r="BD45" i="1"/>
  <c r="AP45" i="1"/>
  <c r="K45" i="1" s="1"/>
  <c r="AO45" i="1"/>
  <c r="BH45" i="1" s="1"/>
  <c r="AD45" i="1" s="1"/>
  <c r="AK45" i="1"/>
  <c r="AJ45" i="1"/>
  <c r="AH45" i="1"/>
  <c r="AG45" i="1"/>
  <c r="AF45" i="1"/>
  <c r="AC45" i="1"/>
  <c r="AB45" i="1"/>
  <c r="Z45" i="1"/>
  <c r="O45" i="1"/>
  <c r="BF45" i="1" s="1"/>
  <c r="L45" i="1"/>
  <c r="AL45" i="1" s="1"/>
  <c r="BW44" i="1"/>
  <c r="BJ44" i="1"/>
  <c r="BD44" i="1"/>
  <c r="AP44" i="1"/>
  <c r="AO44" i="1"/>
  <c r="J44" i="1" s="1"/>
  <c r="AK44" i="1"/>
  <c r="AJ44" i="1"/>
  <c r="AH44" i="1"/>
  <c r="AG44" i="1"/>
  <c r="AF44" i="1"/>
  <c r="AC44" i="1"/>
  <c r="AB44" i="1"/>
  <c r="Z44" i="1"/>
  <c r="O44" i="1"/>
  <c r="BF44" i="1" s="1"/>
  <c r="M44" i="1"/>
  <c r="L44" i="1"/>
  <c r="AL44" i="1" s="1"/>
  <c r="BW42" i="1"/>
  <c r="BJ42" i="1"/>
  <c r="BD42" i="1"/>
  <c r="AP42" i="1"/>
  <c r="BI42" i="1" s="1"/>
  <c r="AC42" i="1" s="1"/>
  <c r="AO42" i="1"/>
  <c r="AK42" i="1"/>
  <c r="AT41" i="1" s="1"/>
  <c r="AJ42" i="1"/>
  <c r="AS41" i="1" s="1"/>
  <c r="AH42" i="1"/>
  <c r="AG42" i="1"/>
  <c r="AF42" i="1"/>
  <c r="AE42" i="1"/>
  <c r="AD42" i="1"/>
  <c r="Z42" i="1"/>
  <c r="O42" i="1"/>
  <c r="BF42" i="1" s="1"/>
  <c r="L42" i="1"/>
  <c r="AL42" i="1" s="1"/>
  <c r="AU41" i="1" s="1"/>
  <c r="O41" i="1"/>
  <c r="G20" i="3" s="1"/>
  <c r="BW40" i="1"/>
  <c r="BJ40" i="1"/>
  <c r="BF40" i="1"/>
  <c r="BD40" i="1"/>
  <c r="AP40" i="1"/>
  <c r="K40" i="1" s="1"/>
  <c r="AO40" i="1"/>
  <c r="BH40" i="1" s="1"/>
  <c r="AB40" i="1" s="1"/>
  <c r="AK40" i="1"/>
  <c r="AJ40" i="1"/>
  <c r="AH40" i="1"/>
  <c r="AG40" i="1"/>
  <c r="AF40" i="1"/>
  <c r="AE40" i="1"/>
  <c r="AD40" i="1"/>
  <c r="Z40" i="1"/>
  <c r="O40" i="1"/>
  <c r="L40" i="1"/>
  <c r="AL40" i="1" s="1"/>
  <c r="BW39" i="1"/>
  <c r="BJ39" i="1"/>
  <c r="BI39" i="1"/>
  <c r="AC39" i="1" s="1"/>
  <c r="BD39" i="1"/>
  <c r="AP39" i="1"/>
  <c r="AX39" i="1" s="1"/>
  <c r="AO39" i="1"/>
  <c r="BH39" i="1" s="1"/>
  <c r="AB39" i="1" s="1"/>
  <c r="AK39" i="1"/>
  <c r="AJ39" i="1"/>
  <c r="AH39" i="1"/>
  <c r="AG39" i="1"/>
  <c r="AF39" i="1"/>
  <c r="AE39" i="1"/>
  <c r="AD39" i="1"/>
  <c r="Z39" i="1"/>
  <c r="O39" i="1"/>
  <c r="BF39" i="1" s="1"/>
  <c r="L39" i="1"/>
  <c r="AL39" i="1" s="1"/>
  <c r="K39" i="1"/>
  <c r="BW38" i="1"/>
  <c r="BJ38" i="1"/>
  <c r="BF38" i="1"/>
  <c r="BD38" i="1"/>
  <c r="AP38" i="1"/>
  <c r="AO38" i="1"/>
  <c r="AL38" i="1"/>
  <c r="AK38" i="1"/>
  <c r="AJ38" i="1"/>
  <c r="AH38" i="1"/>
  <c r="AG38" i="1"/>
  <c r="AF38" i="1"/>
  <c r="AE38" i="1"/>
  <c r="AD38" i="1"/>
  <c r="Z38" i="1"/>
  <c r="O38" i="1"/>
  <c r="L38" i="1"/>
  <c r="K38" i="1"/>
  <c r="BW37" i="1"/>
  <c r="BJ37" i="1"/>
  <c r="BD37" i="1"/>
  <c r="AP37" i="1"/>
  <c r="AX37" i="1" s="1"/>
  <c r="AO37" i="1"/>
  <c r="BH37" i="1" s="1"/>
  <c r="AB37" i="1" s="1"/>
  <c r="AK37" i="1"/>
  <c r="AJ37" i="1"/>
  <c r="AH37" i="1"/>
  <c r="AG37" i="1"/>
  <c r="AF37" i="1"/>
  <c r="AE37" i="1"/>
  <c r="AD37" i="1"/>
  <c r="Z37" i="1"/>
  <c r="O37" i="1"/>
  <c r="BF37" i="1" s="1"/>
  <c r="L37" i="1"/>
  <c r="M37" i="1" s="1"/>
  <c r="K37" i="1"/>
  <c r="BW36" i="1"/>
  <c r="BJ36" i="1"/>
  <c r="BD36" i="1"/>
  <c r="AW36" i="1"/>
  <c r="AP36" i="1"/>
  <c r="K36" i="1" s="1"/>
  <c r="AO36" i="1"/>
  <c r="BH36" i="1" s="1"/>
  <c r="AB36" i="1" s="1"/>
  <c r="AK36" i="1"/>
  <c r="AT34" i="1" s="1"/>
  <c r="AJ36" i="1"/>
  <c r="AH36" i="1"/>
  <c r="AG36" i="1"/>
  <c r="AF36" i="1"/>
  <c r="AE36" i="1"/>
  <c r="AD36" i="1"/>
  <c r="Z36" i="1"/>
  <c r="O36" i="1"/>
  <c r="L36" i="1"/>
  <c r="AL36" i="1" s="1"/>
  <c r="J36" i="1"/>
  <c r="BW35" i="1"/>
  <c r="BJ35" i="1"/>
  <c r="BD35" i="1"/>
  <c r="AP35" i="1"/>
  <c r="AO35" i="1"/>
  <c r="BH35" i="1" s="1"/>
  <c r="AB35" i="1" s="1"/>
  <c r="AK35" i="1"/>
  <c r="AJ35" i="1"/>
  <c r="AH35" i="1"/>
  <c r="AG35" i="1"/>
  <c r="AF35" i="1"/>
  <c r="AE35" i="1"/>
  <c r="AD35" i="1"/>
  <c r="Z35" i="1"/>
  <c r="O35" i="1"/>
  <c r="BF35" i="1" s="1"/>
  <c r="L35" i="1"/>
  <c r="AL35" i="1" s="1"/>
  <c r="BW33" i="1"/>
  <c r="BJ33" i="1"/>
  <c r="BF33" i="1"/>
  <c r="BD33" i="1"/>
  <c r="AP33" i="1"/>
  <c r="AO33" i="1"/>
  <c r="AK33" i="1"/>
  <c r="AJ33" i="1"/>
  <c r="AH33" i="1"/>
  <c r="AG33" i="1"/>
  <c r="AF33" i="1"/>
  <c r="AE33" i="1"/>
  <c r="AD33" i="1"/>
  <c r="Z33" i="1"/>
  <c r="O33" i="1"/>
  <c r="L33" i="1"/>
  <c r="AL33" i="1" s="1"/>
  <c r="K33" i="1"/>
  <c r="BW32" i="1"/>
  <c r="BJ32" i="1"/>
  <c r="BD32" i="1"/>
  <c r="AP32" i="1"/>
  <c r="AX32" i="1" s="1"/>
  <c r="AO32" i="1"/>
  <c r="BH32" i="1" s="1"/>
  <c r="AB32" i="1" s="1"/>
  <c r="AL32" i="1"/>
  <c r="AU31" i="1" s="1"/>
  <c r="AK32" i="1"/>
  <c r="AT31" i="1" s="1"/>
  <c r="AJ32" i="1"/>
  <c r="AH32" i="1"/>
  <c r="AG32" i="1"/>
  <c r="AF32" i="1"/>
  <c r="AE32" i="1"/>
  <c r="AD32" i="1"/>
  <c r="Z32" i="1"/>
  <c r="O32" i="1"/>
  <c r="BF32" i="1" s="1"/>
  <c r="L32" i="1"/>
  <c r="M32" i="1" s="1"/>
  <c r="K32" i="1"/>
  <c r="BW30" i="1"/>
  <c r="BJ30" i="1"/>
  <c r="BD30" i="1"/>
  <c r="AW30" i="1"/>
  <c r="AP30" i="1"/>
  <c r="AO30" i="1"/>
  <c r="BH30" i="1" s="1"/>
  <c r="AB30" i="1" s="1"/>
  <c r="AK30" i="1"/>
  <c r="AT29" i="1" s="1"/>
  <c r="AJ30" i="1"/>
  <c r="AH30" i="1"/>
  <c r="AG30" i="1"/>
  <c r="AF30" i="1"/>
  <c r="AE30" i="1"/>
  <c r="AD30" i="1"/>
  <c r="Z30" i="1"/>
  <c r="O30" i="1"/>
  <c r="BF30" i="1" s="1"/>
  <c r="L30" i="1"/>
  <c r="AL30" i="1" s="1"/>
  <c r="AU29" i="1" s="1"/>
  <c r="K30" i="1"/>
  <c r="K29" i="1" s="1"/>
  <c r="E17" i="3" s="1"/>
  <c r="J30" i="1"/>
  <c r="J29" i="1" s="1"/>
  <c r="D17" i="3" s="1"/>
  <c r="AS29" i="1"/>
  <c r="O29" i="1"/>
  <c r="G17" i="3" s="1"/>
  <c r="L29" i="1"/>
  <c r="F17" i="3" s="1"/>
  <c r="I17" i="3" s="1"/>
  <c r="BW28" i="1"/>
  <c r="BJ28" i="1"/>
  <c r="BD28" i="1"/>
  <c r="AP28" i="1"/>
  <c r="K28" i="1" s="1"/>
  <c r="K27" i="1" s="1"/>
  <c r="E16" i="3" s="1"/>
  <c r="AO28" i="1"/>
  <c r="BH28" i="1" s="1"/>
  <c r="AB28" i="1" s="1"/>
  <c r="AK28" i="1"/>
  <c r="AT27" i="1" s="1"/>
  <c r="AJ28" i="1"/>
  <c r="AH28" i="1"/>
  <c r="AG28" i="1"/>
  <c r="AF28" i="1"/>
  <c r="AE28" i="1"/>
  <c r="AD28" i="1"/>
  <c r="Z28" i="1"/>
  <c r="O28" i="1"/>
  <c r="BF28" i="1" s="1"/>
  <c r="L28" i="1"/>
  <c r="M28" i="1" s="1"/>
  <c r="M27" i="1" s="1"/>
  <c r="AS27" i="1"/>
  <c r="BW26" i="1"/>
  <c r="BJ26" i="1"/>
  <c r="BD26" i="1"/>
  <c r="AW26" i="1"/>
  <c r="AP26" i="1"/>
  <c r="K26" i="1" s="1"/>
  <c r="AO26" i="1"/>
  <c r="BH26" i="1" s="1"/>
  <c r="AB26" i="1" s="1"/>
  <c r="AK26" i="1"/>
  <c r="AJ26" i="1"/>
  <c r="AH26" i="1"/>
  <c r="AG26" i="1"/>
  <c r="AF26" i="1"/>
  <c r="AE26" i="1"/>
  <c r="AD26" i="1"/>
  <c r="Z26" i="1"/>
  <c r="O26" i="1"/>
  <c r="O24" i="1" s="1"/>
  <c r="G15" i="3" s="1"/>
  <c r="L26" i="1"/>
  <c r="AL26" i="1" s="1"/>
  <c r="J26" i="1"/>
  <c r="BW25" i="1"/>
  <c r="BJ25" i="1"/>
  <c r="BF25" i="1"/>
  <c r="BD25" i="1"/>
  <c r="AP25" i="1"/>
  <c r="BI25" i="1" s="1"/>
  <c r="AC25" i="1" s="1"/>
  <c r="AO25" i="1"/>
  <c r="BH25" i="1" s="1"/>
  <c r="AB25" i="1" s="1"/>
  <c r="AK25" i="1"/>
  <c r="AJ25" i="1"/>
  <c r="AH25" i="1"/>
  <c r="AG25" i="1"/>
  <c r="AF25" i="1"/>
  <c r="AE25" i="1"/>
  <c r="AD25" i="1"/>
  <c r="Z25" i="1"/>
  <c r="O25" i="1"/>
  <c r="L25" i="1"/>
  <c r="AL25" i="1" s="1"/>
  <c r="K25" i="1"/>
  <c r="BW23" i="1"/>
  <c r="BJ23" i="1"/>
  <c r="BD23" i="1"/>
  <c r="AP23" i="1"/>
  <c r="K23" i="1" s="1"/>
  <c r="K22" i="1" s="1"/>
  <c r="E14" i="3" s="1"/>
  <c r="AO23" i="1"/>
  <c r="BH23" i="1" s="1"/>
  <c r="AB23" i="1" s="1"/>
  <c r="AK23" i="1"/>
  <c r="AT22" i="1" s="1"/>
  <c r="AJ23" i="1"/>
  <c r="AS22" i="1" s="1"/>
  <c r="AH23" i="1"/>
  <c r="AG23" i="1"/>
  <c r="AF23" i="1"/>
  <c r="AE23" i="1"/>
  <c r="AD23" i="1"/>
  <c r="Z23" i="1"/>
  <c r="O23" i="1"/>
  <c r="BF23" i="1" s="1"/>
  <c r="L23" i="1"/>
  <c r="AL23" i="1" s="1"/>
  <c r="AU22" i="1" s="1"/>
  <c r="J23" i="1"/>
  <c r="J22" i="1" s="1"/>
  <c r="D14" i="3" s="1"/>
  <c r="BW21" i="1"/>
  <c r="BJ21" i="1"/>
  <c r="BF21" i="1"/>
  <c r="BD21" i="1"/>
  <c r="AP21" i="1"/>
  <c r="BI21" i="1" s="1"/>
  <c r="AC21" i="1" s="1"/>
  <c r="AO21" i="1"/>
  <c r="AK21" i="1"/>
  <c r="AJ21" i="1"/>
  <c r="AS20" i="1" s="1"/>
  <c r="AH21" i="1"/>
  <c r="AG21" i="1"/>
  <c r="AF21" i="1"/>
  <c r="AE21" i="1"/>
  <c r="AD21" i="1"/>
  <c r="Z21" i="1"/>
  <c r="O21" i="1"/>
  <c r="O20" i="1" s="1"/>
  <c r="G13" i="3" s="1"/>
  <c r="L21" i="1"/>
  <c r="AL21" i="1" s="1"/>
  <c r="AU20" i="1" s="1"/>
  <c r="AT20" i="1"/>
  <c r="BW19" i="1"/>
  <c r="BJ19" i="1"/>
  <c r="BD19" i="1"/>
  <c r="AP19" i="1"/>
  <c r="K19" i="1" s="1"/>
  <c r="K18" i="1" s="1"/>
  <c r="E12" i="3" s="1"/>
  <c r="AO19" i="1"/>
  <c r="BH19" i="1" s="1"/>
  <c r="AB19" i="1" s="1"/>
  <c r="AK19" i="1"/>
  <c r="AT18" i="1" s="1"/>
  <c r="AJ19" i="1"/>
  <c r="AH19" i="1"/>
  <c r="AG19" i="1"/>
  <c r="AF19" i="1"/>
  <c r="AE19" i="1"/>
  <c r="AD19" i="1"/>
  <c r="Z19" i="1"/>
  <c r="O19" i="1"/>
  <c r="O18" i="1" s="1"/>
  <c r="G12" i="3" s="1"/>
  <c r="L19" i="1"/>
  <c r="L18" i="1" s="1"/>
  <c r="F12" i="3" s="1"/>
  <c r="I12" i="3" s="1"/>
  <c r="J19" i="1"/>
  <c r="J18" i="1" s="1"/>
  <c r="D12" i="3" s="1"/>
  <c r="AS18" i="1"/>
  <c r="BW17" i="1"/>
  <c r="BJ17" i="1"/>
  <c r="BH17" i="1"/>
  <c r="AB17" i="1" s="1"/>
  <c r="BD17" i="1"/>
  <c r="AP17" i="1"/>
  <c r="AX17" i="1" s="1"/>
  <c r="AO17" i="1"/>
  <c r="AK17" i="1"/>
  <c r="AJ17" i="1"/>
  <c r="AH17" i="1"/>
  <c r="AG17" i="1"/>
  <c r="AF17" i="1"/>
  <c r="AE17" i="1"/>
  <c r="AD17" i="1"/>
  <c r="Z17" i="1"/>
  <c r="O17" i="1"/>
  <c r="BF17" i="1" s="1"/>
  <c r="L17" i="1"/>
  <c r="M17" i="1" s="1"/>
  <c r="BW16" i="1"/>
  <c r="BJ16" i="1"/>
  <c r="BD16" i="1"/>
  <c r="AW16" i="1"/>
  <c r="AP16" i="1"/>
  <c r="K16" i="1" s="1"/>
  <c r="AO16" i="1"/>
  <c r="BH16" i="1" s="1"/>
  <c r="AB16" i="1" s="1"/>
  <c r="AK16" i="1"/>
  <c r="AJ16" i="1"/>
  <c r="AH16" i="1"/>
  <c r="AG16" i="1"/>
  <c r="AF16" i="1"/>
  <c r="AE16" i="1"/>
  <c r="AD16" i="1"/>
  <c r="Z16" i="1"/>
  <c r="O16" i="1"/>
  <c r="BF16" i="1" s="1"/>
  <c r="L16" i="1"/>
  <c r="AL16" i="1" s="1"/>
  <c r="J16" i="1"/>
  <c r="BW15" i="1"/>
  <c r="BJ15" i="1"/>
  <c r="BF15" i="1"/>
  <c r="BD15" i="1"/>
  <c r="AP15" i="1"/>
  <c r="BI15" i="1" s="1"/>
  <c r="AC15" i="1" s="1"/>
  <c r="AO15" i="1"/>
  <c r="BH15" i="1" s="1"/>
  <c r="AB15" i="1" s="1"/>
  <c r="AK15" i="1"/>
  <c r="AJ15" i="1"/>
  <c r="AH15" i="1"/>
  <c r="AG15" i="1"/>
  <c r="AF15" i="1"/>
  <c r="AE15" i="1"/>
  <c r="AD15" i="1"/>
  <c r="Z15" i="1"/>
  <c r="O15" i="1"/>
  <c r="L15" i="1"/>
  <c r="M15" i="1" s="1"/>
  <c r="BW14" i="1"/>
  <c r="BJ14" i="1"/>
  <c r="BD14" i="1"/>
  <c r="AP14" i="1"/>
  <c r="AO14" i="1"/>
  <c r="BH14" i="1" s="1"/>
  <c r="AB14" i="1" s="1"/>
  <c r="AL14" i="1"/>
  <c r="AK14" i="1"/>
  <c r="AJ14" i="1"/>
  <c r="AH14" i="1"/>
  <c r="AG14" i="1"/>
  <c r="AF14" i="1"/>
  <c r="AE14" i="1"/>
  <c r="AD14" i="1"/>
  <c r="Z14" i="1"/>
  <c r="O14" i="1"/>
  <c r="BF14" i="1" s="1"/>
  <c r="L14" i="1"/>
  <c r="K14" i="1"/>
  <c r="J14" i="1"/>
  <c r="BW13" i="1"/>
  <c r="BJ13" i="1"/>
  <c r="BD13" i="1"/>
  <c r="AP13" i="1"/>
  <c r="AX13" i="1" s="1"/>
  <c r="AO13" i="1"/>
  <c r="AW13" i="1" s="1"/>
  <c r="AL13" i="1"/>
  <c r="AK13" i="1"/>
  <c r="AJ13" i="1"/>
  <c r="AH13" i="1"/>
  <c r="AG13" i="1"/>
  <c r="AF13" i="1"/>
  <c r="AE13" i="1"/>
  <c r="AD13" i="1"/>
  <c r="Z13" i="1"/>
  <c r="O13" i="1"/>
  <c r="BF13" i="1" s="1"/>
  <c r="L13" i="1"/>
  <c r="M13" i="1" s="1"/>
  <c r="K13" i="1"/>
  <c r="AU1" i="1"/>
  <c r="AT1" i="1"/>
  <c r="AS1" i="1"/>
  <c r="BI102" i="1" l="1"/>
  <c r="AC102" i="1" s="1"/>
  <c r="K104" i="1"/>
  <c r="M109" i="1"/>
  <c r="BI78" i="1"/>
  <c r="AG78" i="1" s="1"/>
  <c r="BI80" i="1"/>
  <c r="AC80" i="1" s="1"/>
  <c r="AW81" i="1"/>
  <c r="AW83" i="1"/>
  <c r="AL88" i="1"/>
  <c r="M89" i="1"/>
  <c r="M101" i="1"/>
  <c r="M106" i="1"/>
  <c r="AW109" i="1"/>
  <c r="J83" i="1"/>
  <c r="K84" i="1"/>
  <c r="AW86" i="1"/>
  <c r="M87" i="1"/>
  <c r="AW89" i="1"/>
  <c r="J90" i="1"/>
  <c r="AW90" i="1"/>
  <c r="AW96" i="1"/>
  <c r="BC96" i="1" s="1"/>
  <c r="AW101" i="1"/>
  <c r="J102" i="1"/>
  <c r="AW102" i="1"/>
  <c r="AW106" i="1"/>
  <c r="J109" i="1"/>
  <c r="IS80" i="2"/>
  <c r="IR81" i="2"/>
  <c r="IR88" i="2"/>
  <c r="G88" i="2" s="1"/>
  <c r="IR93" i="2"/>
  <c r="IR104" i="2"/>
  <c r="M83" i="1"/>
  <c r="BI90" i="1"/>
  <c r="AC90" i="1" s="1"/>
  <c r="J86" i="1"/>
  <c r="K90" i="1"/>
  <c r="M95" i="1"/>
  <c r="J101" i="1"/>
  <c r="K102" i="1"/>
  <c r="J106" i="1"/>
  <c r="AL108" i="1"/>
  <c r="K109" i="1"/>
  <c r="AL69" i="1"/>
  <c r="BH69" i="1"/>
  <c r="AF69" i="1" s="1"/>
  <c r="AX71" i="1"/>
  <c r="BC71" i="1" s="1"/>
  <c r="AL75" i="1"/>
  <c r="IR71" i="2"/>
  <c r="AT62" i="1"/>
  <c r="M66" i="1"/>
  <c r="BH66" i="1"/>
  <c r="IS64" i="2"/>
  <c r="I64" i="2" s="1"/>
  <c r="M63" i="1"/>
  <c r="L60" i="1"/>
  <c r="F24" i="3" s="1"/>
  <c r="I24" i="3" s="1"/>
  <c r="M61" i="1"/>
  <c r="M60" i="1" s="1"/>
  <c r="M57" i="1"/>
  <c r="IS58" i="2"/>
  <c r="M58" i="1"/>
  <c r="AS56" i="1"/>
  <c r="K51" i="1"/>
  <c r="AW54" i="1"/>
  <c r="J55" i="1"/>
  <c r="BH55" i="1"/>
  <c r="K53" i="1"/>
  <c r="IR49" i="2"/>
  <c r="M50" i="1"/>
  <c r="AX55" i="1"/>
  <c r="BC55" i="1" s="1"/>
  <c r="J45" i="1"/>
  <c r="M45" i="1"/>
  <c r="AS43" i="1"/>
  <c r="AW45" i="1"/>
  <c r="M47" i="1"/>
  <c r="BI47" i="1"/>
  <c r="AT43" i="1"/>
  <c r="M46" i="1"/>
  <c r="AV47" i="1"/>
  <c r="AX42" i="1"/>
  <c r="K42" i="1"/>
  <c r="K41" i="1" s="1"/>
  <c r="E20" i="3" s="1"/>
  <c r="IR38" i="2"/>
  <c r="M35" i="1"/>
  <c r="M36" i="1"/>
  <c r="BI32" i="1"/>
  <c r="AC32" i="1" s="1"/>
  <c r="AS31" i="1"/>
  <c r="M30" i="1"/>
  <c r="M29" i="1" s="1"/>
  <c r="AU24" i="1"/>
  <c r="AX25" i="1"/>
  <c r="AT24" i="1"/>
  <c r="L24" i="1"/>
  <c r="F15" i="3" s="1"/>
  <c r="I15" i="3" s="1"/>
  <c r="AW23" i="1"/>
  <c r="L20" i="1"/>
  <c r="F13" i="3" s="1"/>
  <c r="I13" i="3" s="1"/>
  <c r="M21" i="1"/>
  <c r="M20" i="1" s="1"/>
  <c r="AW19" i="1"/>
  <c r="M19" i="1"/>
  <c r="M18" i="1" s="1"/>
  <c r="AL19" i="1"/>
  <c r="AU18" i="1" s="1"/>
  <c r="AT12" i="1"/>
  <c r="BI13" i="1"/>
  <c r="AC13" i="1" s="1"/>
  <c r="H25" i="2"/>
  <c r="IR34" i="2"/>
  <c r="H86" i="2"/>
  <c r="H101" i="2"/>
  <c r="H102" i="2"/>
  <c r="G108" i="2"/>
  <c r="G12" i="2"/>
  <c r="IR18" i="2"/>
  <c r="G24" i="2"/>
  <c r="H39" i="2"/>
  <c r="K41" i="2"/>
  <c r="K40" i="2" s="1"/>
  <c r="K46" i="2"/>
  <c r="K68" i="2"/>
  <c r="I71" i="2"/>
  <c r="K73" i="2"/>
  <c r="IS82" i="2"/>
  <c r="K85" i="2"/>
  <c r="K86" i="2"/>
  <c r="H96" i="2"/>
  <c r="H97" i="2"/>
  <c r="H98" i="2"/>
  <c r="K99" i="2"/>
  <c r="IR100" i="2"/>
  <c r="G100" i="2" s="1"/>
  <c r="K101" i="2"/>
  <c r="K102" i="2"/>
  <c r="K111" i="2"/>
  <c r="IR50" i="2"/>
  <c r="K12" i="2"/>
  <c r="K15" i="2"/>
  <c r="K24" i="2"/>
  <c r="K27" i="2"/>
  <c r="K26" i="2" s="1"/>
  <c r="IR32" i="2"/>
  <c r="I32" i="2" s="1"/>
  <c r="K39" i="2"/>
  <c r="K50" i="2"/>
  <c r="IS53" i="2"/>
  <c r="H53" i="2" s="1"/>
  <c r="K54" i="2"/>
  <c r="K65" i="2"/>
  <c r="IS67" i="2"/>
  <c r="I67" i="2" s="1"/>
  <c r="IR85" i="2"/>
  <c r="G85" i="2" s="1"/>
  <c r="K97" i="2"/>
  <c r="K98" i="2"/>
  <c r="IR101" i="2"/>
  <c r="G101" i="2" s="1"/>
  <c r="K107" i="2"/>
  <c r="K31" i="1"/>
  <c r="E18" i="3" s="1"/>
  <c r="C20" i="4"/>
  <c r="BI17" i="1"/>
  <c r="AC17" i="1" s="1"/>
  <c r="M16" i="1"/>
  <c r="L22" i="1"/>
  <c r="F14" i="3" s="1"/>
  <c r="I14" i="3" s="1"/>
  <c r="M23" i="1"/>
  <c r="M22" i="1" s="1"/>
  <c r="BI37" i="1"/>
  <c r="AC37" i="1" s="1"/>
  <c r="BH38" i="1"/>
  <c r="AB38" i="1" s="1"/>
  <c r="AW38" i="1"/>
  <c r="AX44" i="1"/>
  <c r="BI44" i="1"/>
  <c r="AE44" i="1" s="1"/>
  <c r="K44" i="1"/>
  <c r="K52" i="1"/>
  <c r="AX52" i="1"/>
  <c r="L12" i="1"/>
  <c r="AV13" i="1"/>
  <c r="BI28" i="1"/>
  <c r="AC28" i="1" s="1"/>
  <c r="L41" i="1"/>
  <c r="F20" i="3" s="1"/>
  <c r="I20" i="3" s="1"/>
  <c r="M42" i="1"/>
  <c r="M41" i="1" s="1"/>
  <c r="AS12" i="1"/>
  <c r="M14" i="1"/>
  <c r="M12" i="1" s="1"/>
  <c r="AL17" i="1"/>
  <c r="BF19" i="1"/>
  <c r="K21" i="1"/>
  <c r="K20" i="1" s="1"/>
  <c r="E13" i="3" s="1"/>
  <c r="AX21" i="1"/>
  <c r="M25" i="1"/>
  <c r="AX28" i="1"/>
  <c r="AL49" i="1"/>
  <c r="AU48" i="1" s="1"/>
  <c r="L48" i="1"/>
  <c r="F22" i="3" s="1"/>
  <c r="I22" i="3" s="1"/>
  <c r="M49" i="1"/>
  <c r="BI52" i="1"/>
  <c r="AE52" i="1" s="1"/>
  <c r="K59" i="1"/>
  <c r="AX59" i="1"/>
  <c r="BC59" i="1" s="1"/>
  <c r="BI61" i="1"/>
  <c r="AC61" i="1" s="1"/>
  <c r="K61" i="1"/>
  <c r="K60" i="1" s="1"/>
  <c r="E24" i="3" s="1"/>
  <c r="AX61" i="1"/>
  <c r="BF78" i="1"/>
  <c r="O76" i="1"/>
  <c r="G27" i="3" s="1"/>
  <c r="BC86" i="1"/>
  <c r="AV86" i="1"/>
  <c r="AL112" i="1"/>
  <c r="AU110" i="1" s="1"/>
  <c r="L110" i="1"/>
  <c r="M112" i="1"/>
  <c r="M110" i="1" s="1"/>
  <c r="AL15" i="1"/>
  <c r="O34" i="1"/>
  <c r="G19" i="3" s="1"/>
  <c r="BF36" i="1"/>
  <c r="M105" i="1"/>
  <c r="IS92" i="2"/>
  <c r="H92" i="2" s="1"/>
  <c r="IR92" i="2"/>
  <c r="K17" i="1"/>
  <c r="L27" i="1"/>
  <c r="F16" i="3" s="1"/>
  <c r="I16" i="3" s="1"/>
  <c r="AU43" i="1"/>
  <c r="BI46" i="1"/>
  <c r="AE46" i="1" s="1"/>
  <c r="AX46" i="1"/>
  <c r="K46" i="1"/>
  <c r="AW64" i="1"/>
  <c r="BC64" i="1" s="1"/>
  <c r="BH64" i="1"/>
  <c r="AB64" i="1" s="1"/>
  <c r="J64" i="1"/>
  <c r="AW65" i="1"/>
  <c r="J65" i="1"/>
  <c r="BH65" i="1"/>
  <c r="AB65" i="1" s="1"/>
  <c r="AL73" i="1"/>
  <c r="L67" i="1"/>
  <c r="F26" i="3" s="1"/>
  <c r="I26" i="3" s="1"/>
  <c r="M73" i="1"/>
  <c r="AL74" i="1"/>
  <c r="M74" i="1"/>
  <c r="BH97" i="1"/>
  <c r="AB97" i="1" s="1"/>
  <c r="AW97" i="1"/>
  <c r="J97" i="1"/>
  <c r="AW14" i="1"/>
  <c r="AV14" i="1" s="1"/>
  <c r="K15" i="1"/>
  <c r="AX15" i="1"/>
  <c r="AS24" i="1"/>
  <c r="K24" i="1"/>
  <c r="E15" i="3" s="1"/>
  <c r="M26" i="1"/>
  <c r="O27" i="1"/>
  <c r="G16" i="3" s="1"/>
  <c r="AL28" i="1"/>
  <c r="AU27" i="1" s="1"/>
  <c r="L31" i="1"/>
  <c r="F18" i="3" s="1"/>
  <c r="I18" i="3" s="1"/>
  <c r="BH33" i="1"/>
  <c r="AB33" i="1" s="1"/>
  <c r="J33" i="1"/>
  <c r="AW33" i="1"/>
  <c r="AV33" i="1" s="1"/>
  <c r="BI35" i="1"/>
  <c r="AC35" i="1" s="1"/>
  <c r="AX35" i="1"/>
  <c r="K35" i="1"/>
  <c r="K34" i="1" s="1"/>
  <c r="E19" i="3" s="1"/>
  <c r="J38" i="1"/>
  <c r="L34" i="1"/>
  <c r="F19" i="3" s="1"/>
  <c r="I19" i="3" s="1"/>
  <c r="M39" i="1"/>
  <c r="AT48" i="1"/>
  <c r="BC52" i="1"/>
  <c r="AL64" i="1"/>
  <c r="L62" i="1"/>
  <c r="F25" i="3" s="1"/>
  <c r="I25" i="3" s="1"/>
  <c r="M64" i="1"/>
  <c r="AL65" i="1"/>
  <c r="M65" i="1"/>
  <c r="AT67" i="1"/>
  <c r="AW73" i="1"/>
  <c r="BH73" i="1"/>
  <c r="AF73" i="1" s="1"/>
  <c r="J73" i="1"/>
  <c r="AW74" i="1"/>
  <c r="BC74" i="1" s="1"/>
  <c r="J74" i="1"/>
  <c r="M77" i="1"/>
  <c r="BH79" i="1"/>
  <c r="AF79" i="1" s="1"/>
  <c r="J79" i="1"/>
  <c r="AW79" i="1"/>
  <c r="O31" i="1"/>
  <c r="G18" i="3" s="1"/>
  <c r="M33" i="1"/>
  <c r="M31" i="1" s="1"/>
  <c r="AL37" i="1"/>
  <c r="AU34" i="1" s="1"/>
  <c r="AW40" i="1"/>
  <c r="M40" i="1"/>
  <c r="J46" i="1"/>
  <c r="J43" i="1" s="1"/>
  <c r="D21" i="3" s="1"/>
  <c r="AW46" i="1"/>
  <c r="BC46" i="1" s="1"/>
  <c r="AS48" i="1"/>
  <c r="M51" i="1"/>
  <c r="J59" i="1"/>
  <c r="BH70" i="1"/>
  <c r="AF70" i="1" s="1"/>
  <c r="C18" i="4" s="1"/>
  <c r="K71" i="1"/>
  <c r="BI74" i="1"/>
  <c r="AG74" i="1" s="1"/>
  <c r="AV75" i="1"/>
  <c r="AW77" i="1"/>
  <c r="AV77" i="1" s="1"/>
  <c r="AW78" i="1"/>
  <c r="AW80" i="1"/>
  <c r="BC80" i="1" s="1"/>
  <c r="BH82" i="1"/>
  <c r="AB82" i="1" s="1"/>
  <c r="AW82" i="1"/>
  <c r="J82" i="1"/>
  <c r="BH84" i="1"/>
  <c r="AB84" i="1" s="1"/>
  <c r="AW84" i="1"/>
  <c r="BC84" i="1" s="1"/>
  <c r="BH91" i="1"/>
  <c r="AB91" i="1" s="1"/>
  <c r="J91" i="1"/>
  <c r="AW91" i="1"/>
  <c r="AL92" i="1"/>
  <c r="M92" i="1"/>
  <c r="BH94" i="1"/>
  <c r="AB94" i="1" s="1"/>
  <c r="AW94" i="1"/>
  <c r="J94" i="1"/>
  <c r="AW98" i="1"/>
  <c r="BH104" i="1"/>
  <c r="AB104" i="1" s="1"/>
  <c r="AW104" i="1"/>
  <c r="J104" i="1"/>
  <c r="IS14" i="2"/>
  <c r="H14" i="2" s="1"/>
  <c r="IR14" i="2"/>
  <c r="I18" i="2"/>
  <c r="I17" i="2" s="1"/>
  <c r="I38" i="2"/>
  <c r="IS44" i="2"/>
  <c r="H44" i="2" s="1"/>
  <c r="IR44" i="2"/>
  <c r="K56" i="2"/>
  <c r="AS34" i="1"/>
  <c r="M38" i="1"/>
  <c r="M34" i="1" s="1"/>
  <c r="J40" i="1"/>
  <c r="L43" i="1"/>
  <c r="F21" i="3" s="1"/>
  <c r="I21" i="3" s="1"/>
  <c r="L56" i="1"/>
  <c r="F23" i="3" s="1"/>
  <c r="I23" i="3" s="1"/>
  <c r="J57" i="1"/>
  <c r="J56" i="1" s="1"/>
  <c r="D23" i="3" s="1"/>
  <c r="BH57" i="1"/>
  <c r="AB57" i="1" s="1"/>
  <c r="BC58" i="1"/>
  <c r="BH58" i="1"/>
  <c r="AB58" i="1" s="1"/>
  <c r="AX65" i="1"/>
  <c r="K78" i="1"/>
  <c r="M79" i="1"/>
  <c r="M80" i="1"/>
  <c r="AX82" i="1"/>
  <c r="BI82" i="1"/>
  <c r="AC82" i="1" s="1"/>
  <c r="AV92" i="1"/>
  <c r="AX94" i="1"/>
  <c r="BI94" i="1"/>
  <c r="AC94" i="1" s="1"/>
  <c r="J98" i="1"/>
  <c r="M99" i="1"/>
  <c r="BH100" i="1"/>
  <c r="AB100" i="1" s="1"/>
  <c r="AW100" i="1"/>
  <c r="J100" i="1"/>
  <c r="BH112" i="1"/>
  <c r="AB112" i="1" s="1"/>
  <c r="AW112" i="1"/>
  <c r="J112" i="1"/>
  <c r="J110" i="1" s="1"/>
  <c r="D28" i="3" s="1"/>
  <c r="H38" i="2"/>
  <c r="I58" i="2"/>
  <c r="IS60" i="2"/>
  <c r="H60" i="2" s="1"/>
  <c r="H59" i="2" s="1"/>
  <c r="IR60" i="2"/>
  <c r="AV52" i="1"/>
  <c r="BH59" i="1"/>
  <c r="AB59" i="1" s="1"/>
  <c r="BH85" i="1"/>
  <c r="AB85" i="1" s="1"/>
  <c r="AW85" i="1"/>
  <c r="BH93" i="1"/>
  <c r="AB93" i="1" s="1"/>
  <c r="J93" i="1"/>
  <c r="AW93" i="1"/>
  <c r="AX96" i="1"/>
  <c r="AV96" i="1" s="1"/>
  <c r="K96" i="1"/>
  <c r="AX100" i="1"/>
  <c r="K100" i="1"/>
  <c r="BI100" i="1"/>
  <c r="AC100" i="1" s="1"/>
  <c r="BH103" i="1"/>
  <c r="AB103" i="1" s="1"/>
  <c r="J103" i="1"/>
  <c r="AW103" i="1"/>
  <c r="BI106" i="1"/>
  <c r="K106" i="1"/>
  <c r="BH107" i="1"/>
  <c r="AW107" i="1"/>
  <c r="J107" i="1"/>
  <c r="BI111" i="1"/>
  <c r="AG111" i="1" s="1"/>
  <c r="K111" i="1"/>
  <c r="IS89" i="2"/>
  <c r="H89" i="2" s="1"/>
  <c r="IR89" i="2"/>
  <c r="K90" i="2"/>
  <c r="H93" i="2"/>
  <c r="H27" i="2"/>
  <c r="H26" i="2" s="1"/>
  <c r="IR27" i="2"/>
  <c r="G27" i="2" s="1"/>
  <c r="G26" i="2" s="1"/>
  <c r="H45" i="2"/>
  <c r="IR45" i="2"/>
  <c r="G45" i="2" s="1"/>
  <c r="H49" i="2"/>
  <c r="H72" i="2"/>
  <c r="IR72" i="2"/>
  <c r="G72" i="2" s="1"/>
  <c r="H77" i="2"/>
  <c r="H79" i="2"/>
  <c r="H82" i="2"/>
  <c r="H90" i="2"/>
  <c r="M81" i="1"/>
  <c r="BI84" i="1"/>
  <c r="AC84" i="1" s="1"/>
  <c r="M91" i="1"/>
  <c r="M93" i="1"/>
  <c r="M103" i="1"/>
  <c r="BI104" i="1"/>
  <c r="AC104" i="1" s="1"/>
  <c r="K13" i="2"/>
  <c r="H13" i="2"/>
  <c r="G16" i="2"/>
  <c r="IR20" i="2"/>
  <c r="K25" i="2"/>
  <c r="IR25" i="2"/>
  <c r="G52" i="2"/>
  <c r="H68" i="2"/>
  <c r="IR68" i="2"/>
  <c r="G68" i="2" s="1"/>
  <c r="IR76" i="2"/>
  <c r="G76" i="2" s="1"/>
  <c r="K77" i="2"/>
  <c r="K79" i="2"/>
  <c r="H81" i="2"/>
  <c r="K89" i="2"/>
  <c r="K91" i="2"/>
  <c r="H94" i="2"/>
  <c r="IR105" i="2"/>
  <c r="K108" i="2"/>
  <c r="IS108" i="2"/>
  <c r="H108" i="2" s="1"/>
  <c r="H111" i="2"/>
  <c r="H109" i="2" s="1"/>
  <c r="M85" i="1"/>
  <c r="BI86" i="1"/>
  <c r="AC86" i="1" s="1"/>
  <c r="BI88" i="1"/>
  <c r="AC88" i="1" s="1"/>
  <c r="M97" i="1"/>
  <c r="BI98" i="1"/>
  <c r="AC98" i="1" s="1"/>
  <c r="K107" i="1"/>
  <c r="J108" i="1"/>
  <c r="AW108" i="1"/>
  <c r="K112" i="1"/>
  <c r="K16" i="2"/>
  <c r="K11" i="2" s="1"/>
  <c r="IR39" i="2"/>
  <c r="G39" i="2" s="1"/>
  <c r="K52" i="2"/>
  <c r="IR54" i="2"/>
  <c r="H65" i="2"/>
  <c r="IR65" i="2"/>
  <c r="G65" i="2" s="1"/>
  <c r="IR77" i="2"/>
  <c r="I77" i="2" s="1"/>
  <c r="IS78" i="2"/>
  <c r="IR79" i="2"/>
  <c r="G79" i="2" s="1"/>
  <c r="K81" i="2"/>
  <c r="K93" i="2"/>
  <c r="K95" i="2"/>
  <c r="K110" i="2"/>
  <c r="K109" i="2" s="1"/>
  <c r="I108" i="2"/>
  <c r="IR110" i="2"/>
  <c r="J13" i="1"/>
  <c r="BH13" i="1"/>
  <c r="AB13" i="1" s="1"/>
  <c r="BH44" i="1"/>
  <c r="AD44" i="1" s="1"/>
  <c r="AW44" i="1"/>
  <c r="AV46" i="1"/>
  <c r="K63" i="1"/>
  <c r="K62" i="1" s="1"/>
  <c r="E25" i="3" s="1"/>
  <c r="BI63" i="1"/>
  <c r="AC63" i="1" s="1"/>
  <c r="AX63" i="1"/>
  <c r="BF64" i="1"/>
  <c r="O62" i="1"/>
  <c r="G25" i="3" s="1"/>
  <c r="L76" i="1"/>
  <c r="F27" i="3" s="1"/>
  <c r="I27" i="3" s="1"/>
  <c r="AL78" i="1"/>
  <c r="M78" i="1"/>
  <c r="O12" i="1"/>
  <c r="G11" i="3" s="1"/>
  <c r="BI19" i="1"/>
  <c r="AC19" i="1" s="1"/>
  <c r="AX19" i="1"/>
  <c r="AV19" i="1" s="1"/>
  <c r="O22" i="1"/>
  <c r="G14" i="3" s="1"/>
  <c r="BI30" i="1"/>
  <c r="AC30" i="1" s="1"/>
  <c r="AX30" i="1"/>
  <c r="BC30" i="1" s="1"/>
  <c r="AW32" i="1"/>
  <c r="J32" i="1"/>
  <c r="J31" i="1" s="1"/>
  <c r="D18" i="3" s="1"/>
  <c r="BI33" i="1"/>
  <c r="AC33" i="1" s="1"/>
  <c r="AX33" i="1"/>
  <c r="AW35" i="1"/>
  <c r="J35" i="1"/>
  <c r="BI36" i="1"/>
  <c r="AC36" i="1" s="1"/>
  <c r="AX36" i="1"/>
  <c r="AW37" i="1"/>
  <c r="J37" i="1"/>
  <c r="BI38" i="1"/>
  <c r="AC38" i="1" s="1"/>
  <c r="AX38" i="1"/>
  <c r="AW39" i="1"/>
  <c r="J39" i="1"/>
  <c r="BI40" i="1"/>
  <c r="AC40" i="1" s="1"/>
  <c r="AX40" i="1"/>
  <c r="O43" i="1"/>
  <c r="G21" i="3" s="1"/>
  <c r="M48" i="1"/>
  <c r="J52" i="1"/>
  <c r="J48" i="1" s="1"/>
  <c r="D22" i="3" s="1"/>
  <c r="BH52" i="1"/>
  <c r="AD52" i="1" s="1"/>
  <c r="BH53" i="1"/>
  <c r="AD53" i="1" s="1"/>
  <c r="AW53" i="1"/>
  <c r="BI53" i="1"/>
  <c r="AE53" i="1" s="1"/>
  <c r="O56" i="1"/>
  <c r="G23" i="3" s="1"/>
  <c r="BI58" i="1"/>
  <c r="AC58" i="1" s="1"/>
  <c r="AS67" i="1"/>
  <c r="AS76" i="1"/>
  <c r="AX77" i="1"/>
  <c r="BI77" i="1"/>
  <c r="AG77" i="1" s="1"/>
  <c r="K77" i="1"/>
  <c r="M82" i="1"/>
  <c r="AL82" i="1"/>
  <c r="AL94" i="1"/>
  <c r="M94" i="1"/>
  <c r="IR57" i="2"/>
  <c r="IS57" i="2"/>
  <c r="H57" i="2" s="1"/>
  <c r="AW21" i="1"/>
  <c r="J21" i="1"/>
  <c r="J20" i="1" s="1"/>
  <c r="D13" i="3" s="1"/>
  <c r="AW42" i="1"/>
  <c r="J42" i="1"/>
  <c r="J41" i="1" s="1"/>
  <c r="D20" i="3" s="1"/>
  <c r="BH47" i="1"/>
  <c r="BI50" i="1"/>
  <c r="AE50" i="1" s="1"/>
  <c r="AX50" i="1"/>
  <c r="AV50" i="1" s="1"/>
  <c r="AS62" i="1"/>
  <c r="AX64" i="1"/>
  <c r="AW68" i="1"/>
  <c r="BH68" i="1"/>
  <c r="AF68" i="1" s="1"/>
  <c r="J68" i="1"/>
  <c r="IR37" i="2"/>
  <c r="IS37" i="2"/>
  <c r="H37" i="2" s="1"/>
  <c r="BC13" i="1"/>
  <c r="BI14" i="1"/>
  <c r="AC14" i="1" s="1"/>
  <c r="AX14" i="1"/>
  <c r="AW15" i="1"/>
  <c r="J15" i="1"/>
  <c r="BI16" i="1"/>
  <c r="AC16" i="1" s="1"/>
  <c r="AX16" i="1"/>
  <c r="AW17" i="1"/>
  <c r="J17" i="1"/>
  <c r="BH21" i="1"/>
  <c r="AB21" i="1" s="1"/>
  <c r="BF26" i="1"/>
  <c r="AW28" i="1"/>
  <c r="J28" i="1"/>
  <c r="J27" i="1" s="1"/>
  <c r="D16" i="3" s="1"/>
  <c r="AV36" i="1"/>
  <c r="BC36" i="1"/>
  <c r="AV38" i="1"/>
  <c r="BC38" i="1"/>
  <c r="AV40" i="1"/>
  <c r="BC40" i="1"/>
  <c r="BH42" i="1"/>
  <c r="AB42" i="1" s="1"/>
  <c r="BI45" i="1"/>
  <c r="AE45" i="1" s="1"/>
  <c r="AX45" i="1"/>
  <c r="BC47" i="1"/>
  <c r="BH49" i="1"/>
  <c r="AD49" i="1" s="1"/>
  <c r="AW49" i="1"/>
  <c r="BI49" i="1"/>
  <c r="AE49" i="1" s="1"/>
  <c r="K50" i="1"/>
  <c r="K48" i="1" s="1"/>
  <c r="E22" i="3" s="1"/>
  <c r="AV51" i="1"/>
  <c r="BC51" i="1"/>
  <c r="BI57" i="1"/>
  <c r="AC57" i="1" s="1"/>
  <c r="AX57" i="1"/>
  <c r="AV57" i="1" s="1"/>
  <c r="K57" i="1"/>
  <c r="BI66" i="1"/>
  <c r="AX66" i="1"/>
  <c r="BC66" i="1" s="1"/>
  <c r="BI73" i="1"/>
  <c r="AG73" i="1" s="1"/>
  <c r="AX73" i="1"/>
  <c r="BC73" i="1" s="1"/>
  <c r="K73" i="1"/>
  <c r="AT76" i="1"/>
  <c r="M86" i="1"/>
  <c r="AL86" i="1"/>
  <c r="AL98" i="1"/>
  <c r="M98" i="1"/>
  <c r="G53" i="2"/>
  <c r="I53" i="2"/>
  <c r="AV16" i="1"/>
  <c r="BC16" i="1"/>
  <c r="BI23" i="1"/>
  <c r="AC23" i="1" s="1"/>
  <c r="AX23" i="1"/>
  <c r="AV23" i="1" s="1"/>
  <c r="AW25" i="1"/>
  <c r="J25" i="1"/>
  <c r="J24" i="1" s="1"/>
  <c r="D15" i="3" s="1"/>
  <c r="BI26" i="1"/>
  <c r="AC26" i="1" s="1"/>
  <c r="AX26" i="1"/>
  <c r="BC26" i="1" s="1"/>
  <c r="BC45" i="1"/>
  <c r="BI54" i="1"/>
  <c r="AE54" i="1" s="1"/>
  <c r="AX54" i="1"/>
  <c r="BC54" i="1" s="1"/>
  <c r="AV55" i="1"/>
  <c r="AW61" i="1"/>
  <c r="J61" i="1"/>
  <c r="J60" i="1" s="1"/>
  <c r="D24" i="3" s="1"/>
  <c r="BH61" i="1"/>
  <c r="AB61" i="1" s="1"/>
  <c r="AW63" i="1"/>
  <c r="J63" i="1"/>
  <c r="BI64" i="1"/>
  <c r="AC64" i="1" s="1"/>
  <c r="BI69" i="1"/>
  <c r="AG69" i="1" s="1"/>
  <c r="AX69" i="1"/>
  <c r="BC69" i="1" s="1"/>
  <c r="K69" i="1"/>
  <c r="AW72" i="1"/>
  <c r="BH72" i="1"/>
  <c r="AF72" i="1" s="1"/>
  <c r="J72" i="1"/>
  <c r="AL90" i="1"/>
  <c r="M90" i="1"/>
  <c r="AL102" i="1"/>
  <c r="M102" i="1"/>
  <c r="BI105" i="1"/>
  <c r="AC105" i="1" s="1"/>
  <c r="AX105" i="1"/>
  <c r="BC105" i="1" s="1"/>
  <c r="K105" i="1"/>
  <c r="IS22" i="2"/>
  <c r="H22" i="2" s="1"/>
  <c r="H21" i="2" s="1"/>
  <c r="IR22" i="2"/>
  <c r="IR31" i="2"/>
  <c r="IS31" i="2"/>
  <c r="H31" i="2" s="1"/>
  <c r="AX83" i="1"/>
  <c r="BC83" i="1" s="1"/>
  <c r="BI83" i="1"/>
  <c r="AC83" i="1" s="1"/>
  <c r="AX87" i="1"/>
  <c r="BC87" i="1" s="1"/>
  <c r="BI87" i="1"/>
  <c r="AC87" i="1" s="1"/>
  <c r="AX99" i="1"/>
  <c r="BC99" i="1" s="1"/>
  <c r="BI99" i="1"/>
  <c r="AC99" i="1" s="1"/>
  <c r="H64" i="2"/>
  <c r="K78" i="2"/>
  <c r="I78" i="2"/>
  <c r="C21" i="4"/>
  <c r="C27" i="4"/>
  <c r="AV59" i="1"/>
  <c r="AV65" i="1"/>
  <c r="O67" i="1"/>
  <c r="G26" i="3" s="1"/>
  <c r="AX68" i="1"/>
  <c r="BI68" i="1"/>
  <c r="AG68" i="1" s="1"/>
  <c r="AV70" i="1"/>
  <c r="BH71" i="1"/>
  <c r="AF71" i="1" s="1"/>
  <c r="AX72" i="1"/>
  <c r="BI72" i="1"/>
  <c r="AG72" i="1" s="1"/>
  <c r="BH75" i="1"/>
  <c r="AF75" i="1" s="1"/>
  <c r="AV80" i="1"/>
  <c r="AV83" i="1"/>
  <c r="AV84" i="1"/>
  <c r="AV88" i="1"/>
  <c r="AV99" i="1"/>
  <c r="M107" i="1"/>
  <c r="G25" i="2"/>
  <c r="G23" i="2" s="1"/>
  <c r="I25" i="2"/>
  <c r="IS62" i="2"/>
  <c r="H62" i="2" s="1"/>
  <c r="IR62" i="2"/>
  <c r="IS73" i="2"/>
  <c r="H73" i="2" s="1"/>
  <c r="IR73" i="2"/>
  <c r="K104" i="2"/>
  <c r="G104" i="2"/>
  <c r="I104" i="2"/>
  <c r="H104" i="2"/>
  <c r="IS107" i="2"/>
  <c r="H107" i="2" s="1"/>
  <c r="IR107" i="2"/>
  <c r="G110" i="2"/>
  <c r="I110" i="2"/>
  <c r="AX79" i="1"/>
  <c r="BC79" i="1" s="1"/>
  <c r="BI79" i="1"/>
  <c r="AG79" i="1" s="1"/>
  <c r="AX91" i="1"/>
  <c r="BC91" i="1" s="1"/>
  <c r="BI91" i="1"/>
  <c r="AC91" i="1" s="1"/>
  <c r="AX95" i="1"/>
  <c r="BC95" i="1" s="1"/>
  <c r="BI95" i="1"/>
  <c r="AC95" i="1" s="1"/>
  <c r="AX103" i="1"/>
  <c r="BC103" i="1" s="1"/>
  <c r="BI103" i="1"/>
  <c r="AC103" i="1" s="1"/>
  <c r="G13" i="2"/>
  <c r="I13" i="2"/>
  <c r="IS46" i="2"/>
  <c r="H46" i="2" s="1"/>
  <c r="IR46" i="2"/>
  <c r="F11" i="3"/>
  <c r="I11" i="3" s="1"/>
  <c r="C28" i="4"/>
  <c r="F28" i="4" s="1"/>
  <c r="AV58" i="1"/>
  <c r="J71" i="1"/>
  <c r="AV73" i="1"/>
  <c r="J75" i="1"/>
  <c r="AX81" i="1"/>
  <c r="BC81" i="1" s="1"/>
  <c r="BI81" i="1"/>
  <c r="AC81" i="1" s="1"/>
  <c r="AX85" i="1"/>
  <c r="BI85" i="1"/>
  <c r="AC85" i="1" s="1"/>
  <c r="AX89" i="1"/>
  <c r="BC89" i="1" s="1"/>
  <c r="BI89" i="1"/>
  <c r="AC89" i="1" s="1"/>
  <c r="AX93" i="1"/>
  <c r="BC93" i="1" s="1"/>
  <c r="BI93" i="1"/>
  <c r="AC93" i="1" s="1"/>
  <c r="M96" i="1"/>
  <c r="AX97" i="1"/>
  <c r="BC97" i="1" s="1"/>
  <c r="BI97" i="1"/>
  <c r="AC97" i="1" s="1"/>
  <c r="M100" i="1"/>
  <c r="AX101" i="1"/>
  <c r="BC101" i="1" s="1"/>
  <c r="BI101" i="1"/>
  <c r="AC101" i="1" s="1"/>
  <c r="M104" i="1"/>
  <c r="K18" i="2"/>
  <c r="K17" i="2" s="1"/>
  <c r="H18" i="2"/>
  <c r="H17" i="2" s="1"/>
  <c r="K32" i="2"/>
  <c r="H32" i="2"/>
  <c r="IR43" i="2"/>
  <c r="IS43" i="2"/>
  <c r="H43" i="2" s="1"/>
  <c r="IR63" i="2"/>
  <c r="IS63" i="2"/>
  <c r="H63" i="2" s="1"/>
  <c r="IR70" i="2"/>
  <c r="IS70" i="2"/>
  <c r="H70" i="2" s="1"/>
  <c r="IS74" i="2"/>
  <c r="H74" i="2" s="1"/>
  <c r="IR74" i="2"/>
  <c r="IS12" i="2"/>
  <c r="IS15" i="2"/>
  <c r="H15" i="2" s="1"/>
  <c r="IR15" i="2"/>
  <c r="IS16" i="2"/>
  <c r="G18" i="2"/>
  <c r="G17" i="2" s="1"/>
  <c r="IS24" i="2"/>
  <c r="I27" i="2"/>
  <c r="I26" i="2" s="1"/>
  <c r="IS29" i="2"/>
  <c r="H29" i="2" s="1"/>
  <c r="H28" i="2" s="1"/>
  <c r="IR29" i="2"/>
  <c r="G32" i="2"/>
  <c r="IS35" i="2"/>
  <c r="H35" i="2" s="1"/>
  <c r="IR35" i="2"/>
  <c r="K38" i="2"/>
  <c r="K67" i="2"/>
  <c r="H67" i="2"/>
  <c r="K84" i="2"/>
  <c r="G84" i="2"/>
  <c r="I84" i="2"/>
  <c r="IS95" i="2"/>
  <c r="H95" i="2" s="1"/>
  <c r="IR95" i="2"/>
  <c r="BC111" i="1"/>
  <c r="K31" i="2"/>
  <c r="IS36" i="2"/>
  <c r="H36" i="2" s="1"/>
  <c r="IR36" i="2"/>
  <c r="K44" i="2"/>
  <c r="G49" i="2"/>
  <c r="I49" i="2"/>
  <c r="IS56" i="2"/>
  <c r="H56" i="2" s="1"/>
  <c r="IR56" i="2"/>
  <c r="K58" i="2"/>
  <c r="H58" i="2"/>
  <c r="K64" i="2"/>
  <c r="IS69" i="2"/>
  <c r="H69" i="2" s="1"/>
  <c r="IR69" i="2"/>
  <c r="K71" i="2"/>
  <c r="H71" i="2"/>
  <c r="G77" i="2"/>
  <c r="I79" i="2"/>
  <c r="I82" i="2"/>
  <c r="G82" i="2"/>
  <c r="K88" i="2"/>
  <c r="H88" i="2"/>
  <c r="IS91" i="2"/>
  <c r="H91" i="2" s="1"/>
  <c r="IR91" i="2"/>
  <c r="I92" i="2"/>
  <c r="G93" i="2"/>
  <c r="I93" i="2"/>
  <c r="AX106" i="1"/>
  <c r="AX107" i="1"/>
  <c r="AV107" i="1" s="1"/>
  <c r="AX108" i="1"/>
  <c r="BC108" i="1" s="1"/>
  <c r="AX109" i="1"/>
  <c r="AX111" i="1"/>
  <c r="AV111" i="1" s="1"/>
  <c r="AX112" i="1"/>
  <c r="AV112" i="1" s="1"/>
  <c r="G38" i="2"/>
  <c r="IS41" i="2"/>
  <c r="H41" i="2" s="1"/>
  <c r="H40" i="2" s="1"/>
  <c r="IR41" i="2"/>
  <c r="I45" i="2"/>
  <c r="IS48" i="2"/>
  <c r="IS51" i="2"/>
  <c r="H51" i="2" s="1"/>
  <c r="IR51" i="2"/>
  <c r="IS52" i="2"/>
  <c r="G58" i="2"/>
  <c r="G64" i="2"/>
  <c r="G67" i="2"/>
  <c r="I68" i="2"/>
  <c r="G71" i="2"/>
  <c r="I72" i="2"/>
  <c r="G78" i="2"/>
  <c r="K80" i="2"/>
  <c r="G80" i="2"/>
  <c r="I80" i="2"/>
  <c r="K37" i="2"/>
  <c r="K33" i="2" s="1"/>
  <c r="K43" i="2"/>
  <c r="K49" i="2"/>
  <c r="K57" i="2"/>
  <c r="K55" i="2" s="1"/>
  <c r="K63" i="2"/>
  <c r="K70" i="2"/>
  <c r="K74" i="2"/>
  <c r="G97" i="2"/>
  <c r="I97" i="2"/>
  <c r="K100" i="2"/>
  <c r="H80" i="2"/>
  <c r="H84" i="2"/>
  <c r="IS87" i="2"/>
  <c r="H87" i="2" s="1"/>
  <c r="IR87" i="2"/>
  <c r="G89" i="2"/>
  <c r="K96" i="2"/>
  <c r="G96" i="2"/>
  <c r="H100" i="2"/>
  <c r="IS103" i="2"/>
  <c r="H103" i="2" s="1"/>
  <c r="IR103" i="2"/>
  <c r="G105" i="2"/>
  <c r="I105" i="2"/>
  <c r="I27" i="5"/>
  <c r="F29" i="5" s="1"/>
  <c r="H78" i="2"/>
  <c r="G81" i="2"/>
  <c r="I81" i="2"/>
  <c r="IS83" i="2"/>
  <c r="H83" i="2" s="1"/>
  <c r="IR83" i="2"/>
  <c r="K92" i="2"/>
  <c r="G92" i="2"/>
  <c r="IS99" i="2"/>
  <c r="H99" i="2" s="1"/>
  <c r="IR99" i="2"/>
  <c r="I22" i="4"/>
  <c r="IR86" i="2"/>
  <c r="IR90" i="2"/>
  <c r="IR94" i="2"/>
  <c r="IR98" i="2"/>
  <c r="IR102" i="2"/>
  <c r="IR106" i="2"/>
  <c r="IR111" i="2"/>
  <c r="F28" i="3" l="1"/>
  <c r="I28" i="3" s="1"/>
  <c r="L113" i="1"/>
  <c r="I88" i="2"/>
  <c r="BC85" i="1"/>
  <c r="BC77" i="1"/>
  <c r="BC102" i="1"/>
  <c r="AV102" i="1"/>
  <c r="BC90" i="1"/>
  <c r="AV90" i="1"/>
  <c r="I85" i="2"/>
  <c r="AV106" i="1"/>
  <c r="AV109" i="1"/>
  <c r="J76" i="1"/>
  <c r="D27" i="3" s="1"/>
  <c r="AU67" i="1"/>
  <c r="AV74" i="1"/>
  <c r="AV71" i="1"/>
  <c r="BC65" i="1"/>
  <c r="AV64" i="1"/>
  <c r="AU62" i="1"/>
  <c r="J62" i="1"/>
  <c r="D25" i="3" s="1"/>
  <c r="K56" i="1"/>
  <c r="E23" i="3" s="1"/>
  <c r="M56" i="1"/>
  <c r="C16" i="4"/>
  <c r="AV45" i="1"/>
  <c r="I44" i="2"/>
  <c r="M43" i="1"/>
  <c r="I39" i="2"/>
  <c r="BC33" i="1"/>
  <c r="AV30" i="1"/>
  <c r="M24" i="1"/>
  <c r="BC14" i="1"/>
  <c r="AU12" i="1"/>
  <c r="K12" i="1"/>
  <c r="E11" i="3" s="1"/>
  <c r="F29" i="3"/>
  <c r="I100" i="2"/>
  <c r="I65" i="2"/>
  <c r="G44" i="2"/>
  <c r="K30" i="2"/>
  <c r="H42" i="2"/>
  <c r="K47" i="2"/>
  <c r="K23" i="2"/>
  <c r="I34" i="2"/>
  <c r="G34" i="2"/>
  <c r="H33" i="2"/>
  <c r="I50" i="2"/>
  <c r="G50" i="2"/>
  <c r="I101" i="2"/>
  <c r="I89" i="2"/>
  <c r="H55" i="2"/>
  <c r="H75" i="2"/>
  <c r="C19" i="4"/>
  <c r="K75" i="2"/>
  <c r="AV97" i="1"/>
  <c r="I54" i="2"/>
  <c r="G54" i="2"/>
  <c r="K110" i="1"/>
  <c r="E28" i="3" s="1"/>
  <c r="BC100" i="1"/>
  <c r="AV100" i="1"/>
  <c r="I14" i="2"/>
  <c r="G14" i="2"/>
  <c r="BC78" i="1"/>
  <c r="AV78" i="1"/>
  <c r="K43" i="1"/>
  <c r="E21" i="3" s="1"/>
  <c r="K61" i="2"/>
  <c r="BC106" i="1"/>
  <c r="AV91" i="1"/>
  <c r="I76" i="2"/>
  <c r="BC98" i="1"/>
  <c r="AV98" i="1"/>
  <c r="BC82" i="1"/>
  <c r="AV82" i="1"/>
  <c r="M62" i="1"/>
  <c r="M67" i="1"/>
  <c r="K42" i="2"/>
  <c r="BC107" i="1"/>
  <c r="K67" i="1"/>
  <c r="E26" i="3" s="1"/>
  <c r="M76" i="1"/>
  <c r="M113" i="1" s="1"/>
  <c r="K76" i="1"/>
  <c r="E27" i="3" s="1"/>
  <c r="C17" i="4"/>
  <c r="I20" i="2"/>
  <c r="I19" i="2" s="1"/>
  <c r="G20" i="2"/>
  <c r="G19" i="2" s="1"/>
  <c r="C15" i="4"/>
  <c r="AV101" i="1"/>
  <c r="I60" i="2"/>
  <c r="I59" i="2" s="1"/>
  <c r="G60" i="2"/>
  <c r="G59" i="2" s="1"/>
  <c r="BC104" i="1"/>
  <c r="AV104" i="1"/>
  <c r="BC94" i="1"/>
  <c r="AV94" i="1"/>
  <c r="I86" i="2"/>
  <c r="G86" i="2"/>
  <c r="H16" i="2"/>
  <c r="I16" i="2"/>
  <c r="AV54" i="1"/>
  <c r="AV37" i="1"/>
  <c r="BC37" i="1"/>
  <c r="AV32" i="1"/>
  <c r="BC32" i="1"/>
  <c r="J12" i="1"/>
  <c r="D11" i="3" s="1"/>
  <c r="I98" i="2"/>
  <c r="G98" i="2"/>
  <c r="C29" i="4"/>
  <c r="F29" i="4" s="1"/>
  <c r="I99" i="2"/>
  <c r="G99" i="2"/>
  <c r="I51" i="2"/>
  <c r="G51" i="2"/>
  <c r="BC109" i="1"/>
  <c r="K66" i="2"/>
  <c r="I15" i="2"/>
  <c r="G15" i="2"/>
  <c r="G11" i="2" s="1"/>
  <c r="G74" i="2"/>
  <c r="I74" i="2"/>
  <c r="G43" i="2"/>
  <c r="I43" i="2"/>
  <c r="AV105" i="1"/>
  <c r="AV103" i="1"/>
  <c r="I22" i="2"/>
  <c r="I21" i="2" s="1"/>
  <c r="G22" i="2"/>
  <c r="G21" i="2" s="1"/>
  <c r="AV61" i="1"/>
  <c r="BC61" i="1"/>
  <c r="AV17" i="1"/>
  <c r="BC17" i="1"/>
  <c r="AV15" i="1"/>
  <c r="BC15" i="1"/>
  <c r="AV89" i="1"/>
  <c r="AV42" i="1"/>
  <c r="BC42" i="1"/>
  <c r="G57" i="2"/>
  <c r="I57" i="2"/>
  <c r="BC57" i="1"/>
  <c r="AV53" i="1"/>
  <c r="BC53" i="1"/>
  <c r="AV44" i="1"/>
  <c r="BC44" i="1"/>
  <c r="BC23" i="1"/>
  <c r="H52" i="2"/>
  <c r="I52" i="2"/>
  <c r="H66" i="2"/>
  <c r="I35" i="2"/>
  <c r="G35" i="2"/>
  <c r="G70" i="2"/>
  <c r="I70" i="2"/>
  <c r="G31" i="2"/>
  <c r="G30" i="2" s="1"/>
  <c r="I31" i="2"/>
  <c r="I30" i="2" s="1"/>
  <c r="AV68" i="1"/>
  <c r="BC68" i="1"/>
  <c r="I94" i="2"/>
  <c r="G94" i="2"/>
  <c r="I87" i="2"/>
  <c r="G87" i="2"/>
  <c r="I41" i="2"/>
  <c r="I40" i="2" s="1"/>
  <c r="G41" i="2"/>
  <c r="G40" i="2" s="1"/>
  <c r="I69" i="2"/>
  <c r="G69" i="2"/>
  <c r="H24" i="2"/>
  <c r="H23" i="2" s="1"/>
  <c r="I24" i="2"/>
  <c r="I23" i="2" s="1"/>
  <c r="AV108" i="1"/>
  <c r="AV69" i="1"/>
  <c r="I46" i="2"/>
  <c r="G46" i="2"/>
  <c r="I107" i="2"/>
  <c r="G107" i="2"/>
  <c r="I62" i="2"/>
  <c r="G62" i="2"/>
  <c r="AV87" i="1"/>
  <c r="AV79" i="1"/>
  <c r="AV72" i="1"/>
  <c r="BC72" i="1"/>
  <c r="AV63" i="1"/>
  <c r="BC63" i="1"/>
  <c r="AV81" i="1"/>
  <c r="AV49" i="1"/>
  <c r="BC49" i="1"/>
  <c r="BC19" i="1"/>
  <c r="J67" i="1"/>
  <c r="D26" i="3" s="1"/>
  <c r="BC50" i="1"/>
  <c r="I102" i="2"/>
  <c r="G102" i="2"/>
  <c r="I36" i="2"/>
  <c r="G36" i="2"/>
  <c r="I73" i="2"/>
  <c r="G73" i="2"/>
  <c r="AV39" i="1"/>
  <c r="BC39" i="1"/>
  <c r="AV35" i="1"/>
  <c r="BC35" i="1"/>
  <c r="AU76" i="1"/>
  <c r="AV26" i="1"/>
  <c r="I111" i="2"/>
  <c r="I109" i="2" s="1"/>
  <c r="G111" i="2"/>
  <c r="G109" i="2" s="1"/>
  <c r="I106" i="2"/>
  <c r="G106" i="2"/>
  <c r="I90" i="2"/>
  <c r="G90" i="2"/>
  <c r="I83" i="2"/>
  <c r="G83" i="2"/>
  <c r="I103" i="2"/>
  <c r="G103" i="2"/>
  <c r="H48" i="2"/>
  <c r="I48" i="2"/>
  <c r="I91" i="2"/>
  <c r="G91" i="2"/>
  <c r="I56" i="2"/>
  <c r="G56" i="2"/>
  <c r="BC112" i="1"/>
  <c r="I95" i="2"/>
  <c r="G95" i="2"/>
  <c r="I29" i="2"/>
  <c r="I28" i="2" s="1"/>
  <c r="G29" i="2"/>
  <c r="G28" i="2" s="1"/>
  <c r="H12" i="2"/>
  <c r="H11" i="2" s="1"/>
  <c r="I12" i="2"/>
  <c r="G63" i="2"/>
  <c r="I63" i="2"/>
  <c r="AV66" i="1"/>
  <c r="H61" i="2"/>
  <c r="AV95" i="1"/>
  <c r="H30" i="2"/>
  <c r="AV85" i="1"/>
  <c r="AV25" i="1"/>
  <c r="BC25" i="1"/>
  <c r="AV93" i="1"/>
  <c r="AV28" i="1"/>
  <c r="BC28" i="1"/>
  <c r="G37" i="2"/>
  <c r="I37" i="2"/>
  <c r="AV21" i="1"/>
  <c r="BC21" i="1"/>
  <c r="J34" i="1"/>
  <c r="D19" i="3" s="1"/>
  <c r="C14" i="4"/>
  <c r="I55" i="2" l="1"/>
  <c r="G47" i="2"/>
  <c r="C22" i="4"/>
  <c r="I28" i="4"/>
  <c r="I29" i="4" s="1"/>
  <c r="G61" i="2"/>
  <c r="G66" i="2"/>
  <c r="I11" i="2"/>
  <c r="H47" i="2"/>
  <c r="I75" i="2"/>
  <c r="I66" i="2"/>
  <c r="G55" i="2"/>
  <c r="I47" i="2"/>
  <c r="G75" i="2"/>
  <c r="I61" i="2"/>
  <c r="I42" i="2"/>
  <c r="G33" i="2"/>
  <c r="G42" i="2"/>
  <c r="I33" i="2"/>
  <c r="I113" i="2" l="1"/>
</calcChain>
</file>

<file path=xl/sharedStrings.xml><?xml version="1.0" encoding="utf-8"?>
<sst xmlns="http://schemas.openxmlformats.org/spreadsheetml/2006/main" count="2185" uniqueCount="429">
  <si>
    <t>Stavební rozpočet</t>
  </si>
  <si>
    <t>Název stavby:</t>
  </si>
  <si>
    <t>SO-01 Výstavba rozhledny na Jitrovníku  Šluknov</t>
  </si>
  <si>
    <t>Doba výstavby:</t>
  </si>
  <si>
    <t xml:space="preserve"> </t>
  </si>
  <si>
    <t>Objednatel:</t>
  </si>
  <si>
    <t>Město Šluknov nám. Míru 1, 407 47 Šluknov</t>
  </si>
  <si>
    <t>Druh stavby:</t>
  </si>
  <si>
    <t>Rozhledna</t>
  </si>
  <si>
    <t>Začátek výstavby:</t>
  </si>
  <si>
    <t>Projektant:</t>
  </si>
  <si>
    <t>Ing. arch . Tomáš Beneš ve Strouhách 969/13 Praha</t>
  </si>
  <si>
    <t>Lokalita:</t>
  </si>
  <si>
    <t>Jitrovník</t>
  </si>
  <si>
    <t>Konec výstavby:</t>
  </si>
  <si>
    <t>Zhotovitel:</t>
  </si>
  <si>
    <t>Bude vybrán investorem</t>
  </si>
  <si>
    <t>JKSO:</t>
  </si>
  <si>
    <t>Zpracováno dne:</t>
  </si>
  <si>
    <t>06.10.2023</t>
  </si>
  <si>
    <t>Zpracoval:</t>
  </si>
  <si>
    <t> 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</si>
  <si>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</si>
  <si>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</si>
  <si>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</si>
  <si>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</si>
  <si>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</si>
  <si>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</si>
  <si>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</si>
  <si>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</si>
  <si>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</si>
  <si>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</si>
  <si>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</si>
  <si>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</si>
  <si>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</si>
  <si>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</si>
  <si>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</si>
  <si>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</si>
  <si>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</si>
  <si>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</si>
  <si>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</si>
  <si>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</si>
  <si>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</si>
  <si>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</si>
  <si>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</si>
  <si>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</si>
  <si>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</si>
  <si>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</si>
  <si>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</si>
  <si>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</si>
  <si>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</si>
  <si>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</si>
  <si>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</si>
  <si>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</si>
  <si>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</si>
  <si>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</si>
  <si>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</si>
  <si>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0</t>
  </si>
  <si>
    <t>Všeobecné konstrukce a práce</t>
  </si>
  <si>
    <t>1</t>
  </si>
  <si>
    <t>0001Rv</t>
  </si>
  <si>
    <t>Zařízení staveniště</t>
  </si>
  <si>
    <t>Soub</t>
  </si>
  <si>
    <t>21</t>
  </si>
  <si>
    <t>RTS II / 2022</t>
  </si>
  <si>
    <t>0_</t>
  </si>
  <si>
    <t>_</t>
  </si>
  <si>
    <t>2</t>
  </si>
  <si>
    <t>0002Rv</t>
  </si>
  <si>
    <t>Mimostaveništní doprava</t>
  </si>
  <si>
    <t>3</t>
  </si>
  <si>
    <t>Územní vlivy</t>
  </si>
  <si>
    <t>4</t>
  </si>
  <si>
    <t>Provozní vlivy</t>
  </si>
  <si>
    <t>5</t>
  </si>
  <si>
    <t>Vypracování projektové dokumentace</t>
  </si>
  <si>
    <t>Zemní práce</t>
  </si>
  <si>
    <t>6</t>
  </si>
  <si>
    <t>100004101R00</t>
  </si>
  <si>
    <t>Uložení sypaniny vrstva do 60 cm</t>
  </si>
  <si>
    <t>m3</t>
  </si>
  <si>
    <t>RTS I / 2023</t>
  </si>
  <si>
    <t>1_</t>
  </si>
  <si>
    <t>11</t>
  </si>
  <si>
    <t>Přípravné a přidružené práce</t>
  </si>
  <si>
    <t>7</t>
  </si>
  <si>
    <t>111301111R00</t>
  </si>
  <si>
    <t>Sejmutí drnu tl. do 10 cm, s přemístěním do 50 m</t>
  </si>
  <si>
    <t>m2</t>
  </si>
  <si>
    <t>11_</t>
  </si>
  <si>
    <t>12</t>
  </si>
  <si>
    <t>Odkopávky a prokopávky</t>
  </si>
  <si>
    <t>8</t>
  </si>
  <si>
    <t>121101101R00</t>
  </si>
  <si>
    <t>Sejmutí ornice s přemístěním do 50 m</t>
  </si>
  <si>
    <t>12_</t>
  </si>
  <si>
    <t>13</t>
  </si>
  <si>
    <t>Hloubené vykopávky</t>
  </si>
  <si>
    <t>9</t>
  </si>
  <si>
    <t>132401111R00</t>
  </si>
  <si>
    <t>Hloubení rýh šířky do 60 cm v hor.5, STROJNĚ</t>
  </si>
  <si>
    <t>13_</t>
  </si>
  <si>
    <t>10</t>
  </si>
  <si>
    <t>162702199R00</t>
  </si>
  <si>
    <t>Poplatek za skládku</t>
  </si>
  <si>
    <t>17</t>
  </si>
  <si>
    <t>Konstrukce ze zemin</t>
  </si>
  <si>
    <t>171101121R00</t>
  </si>
  <si>
    <t>Uložení sypaniny z hornin nesoudržných kamenitých</t>
  </si>
  <si>
    <t>17_</t>
  </si>
  <si>
    <t>18</t>
  </si>
  <si>
    <t>Povrchové úpravy terénu</t>
  </si>
  <si>
    <t>181301103R00</t>
  </si>
  <si>
    <t>Rozprostření ornice, rovina, tl. 15-20 cm,do 500m2</t>
  </si>
  <si>
    <t>18_</t>
  </si>
  <si>
    <t>26</t>
  </si>
  <si>
    <t>Vrty</t>
  </si>
  <si>
    <t>224361111R00</t>
  </si>
  <si>
    <t>Výztuž pilot betonovaných do země z oceli 10505(R)</t>
  </si>
  <si>
    <t>t</t>
  </si>
  <si>
    <t>26_</t>
  </si>
  <si>
    <t>2_</t>
  </si>
  <si>
    <t>14</t>
  </si>
  <si>
    <t>264521512R00</t>
  </si>
  <si>
    <t>Vrty zapažené do 850 mm hl.do 10 m hor.5,6</t>
  </si>
  <si>
    <t>m</t>
  </si>
  <si>
    <t>27</t>
  </si>
  <si>
    <t>Základy</t>
  </si>
  <si>
    <t>15</t>
  </si>
  <si>
    <t>274321611R00</t>
  </si>
  <si>
    <t>Železobeton základových pasů C 30/37</t>
  </si>
  <si>
    <t>27_</t>
  </si>
  <si>
    <t>16</t>
  </si>
  <si>
    <t>274361214R00</t>
  </si>
  <si>
    <t>Výztuž základových pasů do 12 mm z oceli B500B (10 505)</t>
  </si>
  <si>
    <t>277324117R00</t>
  </si>
  <si>
    <t>Železobeton základových pilířů z betonu C25/30 XA2</t>
  </si>
  <si>
    <t>275171001R00</t>
  </si>
  <si>
    <t>Zavrtání zemního vrutu</t>
  </si>
  <si>
    <t>kus</t>
  </si>
  <si>
    <t>19</t>
  </si>
  <si>
    <t>31149110RV</t>
  </si>
  <si>
    <t>Vrut zemní KSF G 76x800 - 4 x M12</t>
  </si>
  <si>
    <t xml:space="preserve"> ks</t>
  </si>
  <si>
    <t>20</t>
  </si>
  <si>
    <t>Vrut zemní KSF G 66x650 - 1xM8</t>
  </si>
  <si>
    <t>56</t>
  </si>
  <si>
    <t>Podkladní vrstvy komunikací, letišť a ploch</t>
  </si>
  <si>
    <t>564851111R00</t>
  </si>
  <si>
    <t>Podklad ze štěrkodrti po zhutnění tloušťky 15 cm</t>
  </si>
  <si>
    <t>56_</t>
  </si>
  <si>
    <t>5_</t>
  </si>
  <si>
    <t>762</t>
  </si>
  <si>
    <t>Konstrukce tesařské</t>
  </si>
  <si>
    <t>22</t>
  </si>
  <si>
    <t>762911121R00</t>
  </si>
  <si>
    <t>Tlakovakuová, ochrana proti dřevokazným houbám, plísním a dřevokaznému hmyzu</t>
  </si>
  <si>
    <t>762_</t>
  </si>
  <si>
    <t>76_</t>
  </si>
  <si>
    <t>23</t>
  </si>
  <si>
    <t>763791101R00</t>
  </si>
  <si>
    <t>Montáž ostatních dílců z prken hoblovaných</t>
  </si>
  <si>
    <t>24</t>
  </si>
  <si>
    <t>611981860</t>
  </si>
  <si>
    <t>Prkno terasové dřevěné Modřín Sibiřský 27 x 140 mm</t>
  </si>
  <si>
    <t>25</t>
  </si>
  <si>
    <t>998762104R00</t>
  </si>
  <si>
    <t>Přesun hmot pro tesařské konstrukce, výšky do 36 m</t>
  </si>
  <si>
    <t>767</t>
  </si>
  <si>
    <t>Konstrukce doplňkové stavební (zámečnické)</t>
  </si>
  <si>
    <t>767995108R00</t>
  </si>
  <si>
    <t>Výroba a montáž kov. atypických konstr. nad 500 kg</t>
  </si>
  <si>
    <t>kg</t>
  </si>
  <si>
    <t>767_</t>
  </si>
  <si>
    <t>430832001RV</t>
  </si>
  <si>
    <t>Krytina z podlahových ocelových roštů, přivařením</t>
  </si>
  <si>
    <t>m2 ZP</t>
  </si>
  <si>
    <t>28</t>
  </si>
  <si>
    <t>00 RV-0058</t>
  </si>
  <si>
    <t>Mincovní stojanový dalekohled FO II 100 M, 20x100 mm</t>
  </si>
  <si>
    <t>29</t>
  </si>
  <si>
    <t>15945100</t>
  </si>
  <si>
    <t>Nerezová síť, vlákno 3,2 mm, oko 51x51mm, kvalitativně musí odpovídat druhu použití</t>
  </si>
  <si>
    <t>30</t>
  </si>
  <si>
    <t>15951130</t>
  </si>
  <si>
    <t>Plech děrovaný řadové otvory 3x1000x2000</t>
  </si>
  <si>
    <t>31</t>
  </si>
  <si>
    <t>135656VVVD</t>
  </si>
  <si>
    <t>Pororošty: SP-30/2-34/38 zinkovaný</t>
  </si>
  <si>
    <t>32</t>
  </si>
  <si>
    <t>998767104R00</t>
  </si>
  <si>
    <t>Přesun hmot pro zámečnické konstr., výšky do 36 m</t>
  </si>
  <si>
    <t>90</t>
  </si>
  <si>
    <t>Hodinové zúčtovací sazby (HZS)</t>
  </si>
  <si>
    <t>33</t>
  </si>
  <si>
    <t>900      RV14</t>
  </si>
  <si>
    <t>HZS práce autojeřáb</t>
  </si>
  <si>
    <t>h</t>
  </si>
  <si>
    <t>90_</t>
  </si>
  <si>
    <t>9_</t>
  </si>
  <si>
    <t>34</t>
  </si>
  <si>
    <t>900      R03</t>
  </si>
  <si>
    <t>HZS-práce neobsažené  ceníku možno čerpat až po odsouhlasení stavebním dozorem</t>
  </si>
  <si>
    <t>35</t>
  </si>
  <si>
    <t>900      R45</t>
  </si>
  <si>
    <t>93</t>
  </si>
  <si>
    <t>Různé dokončovací konstrukce a práce inženýrských staveb</t>
  </si>
  <si>
    <t>36</t>
  </si>
  <si>
    <t>938909311R00</t>
  </si>
  <si>
    <t>Odstranění nánosu z povrchu živičného nebo beton.</t>
  </si>
  <si>
    <t>93_</t>
  </si>
  <si>
    <t>94</t>
  </si>
  <si>
    <t>Lešení a stavební výtahy</t>
  </si>
  <si>
    <t>37</t>
  </si>
  <si>
    <t>941941042R00</t>
  </si>
  <si>
    <t>Montáž lešení leh.řad.s podlahami,š.1,2 m, H 30 m</t>
  </si>
  <si>
    <t>94_</t>
  </si>
  <si>
    <t>38</t>
  </si>
  <si>
    <t>941941292R00</t>
  </si>
  <si>
    <t>Příplatek za každý měsíc použití lešení k pol.1042</t>
  </si>
  <si>
    <t>39</t>
  </si>
  <si>
    <t>941941832R00</t>
  </si>
  <si>
    <t>Demontáž lešení leh.řad.s podlahami,š.1 m, H 30 m</t>
  </si>
  <si>
    <t>40</t>
  </si>
  <si>
    <t>998009101R00</t>
  </si>
  <si>
    <t>Přesun hmot lešení samostatně budovaného</t>
  </si>
  <si>
    <t>M21</t>
  </si>
  <si>
    <t>Elektromontáže</t>
  </si>
  <si>
    <t>43</t>
  </si>
  <si>
    <t>210220021RT1</t>
  </si>
  <si>
    <t>Vedení uzemňovací v zemi FeZn do 120 mm2</t>
  </si>
  <si>
    <t>M21_</t>
  </si>
  <si>
    <t>44</t>
  </si>
  <si>
    <t>210220221R00</t>
  </si>
  <si>
    <t>Tyč jímací s upev. na stř.hřeben do 3 m, na konstr</t>
  </si>
  <si>
    <t>45</t>
  </si>
  <si>
    <t>210220301RT2</t>
  </si>
  <si>
    <t>Svorka hromosvodová do 2 šroubů /SS, SZ, SO/</t>
  </si>
  <si>
    <t>46</t>
  </si>
  <si>
    <t>210220372RT1</t>
  </si>
  <si>
    <t>Úhelník ochranný nebo trubka s držáky do zdiva</t>
  </si>
  <si>
    <t>47</t>
  </si>
  <si>
    <t>210220381R00</t>
  </si>
  <si>
    <t>Lišta ochranná dřevěná nebo umělá hmota, do 2 m</t>
  </si>
  <si>
    <t>48</t>
  </si>
  <si>
    <t>210220401RT1</t>
  </si>
  <si>
    <t>Označení svodu štítky, smaltované, umělá hmota</t>
  </si>
  <si>
    <t>49</t>
  </si>
  <si>
    <t>210220452RV</t>
  </si>
  <si>
    <t>Revize hromosvodu</t>
  </si>
  <si>
    <t>Kus</t>
  </si>
  <si>
    <t>50</t>
  </si>
  <si>
    <t>783120014RAB</t>
  </si>
  <si>
    <t>Nátěr OK lehkých "C" syntetický</t>
  </si>
  <si>
    <t>M43</t>
  </si>
  <si>
    <t>Montáže ocelových konstrukcí</t>
  </si>
  <si>
    <t>51</t>
  </si>
  <si>
    <t>430862001R00</t>
  </si>
  <si>
    <t>Křivka cenová druhá, hmotnost do 500 kg</t>
  </si>
  <si>
    <t>M43_</t>
  </si>
  <si>
    <t>52</t>
  </si>
  <si>
    <t>4308001-RV1</t>
  </si>
  <si>
    <t>Příplatek za zinkování konstrukcí</t>
  </si>
  <si>
    <t>53</t>
  </si>
  <si>
    <t>Příplatek za ohýbání konstrukcí</t>
  </si>
  <si>
    <t>54</t>
  </si>
  <si>
    <t>13211296</t>
  </si>
  <si>
    <t>Tyč ocelová kruhová jakost S235  D 25 mm</t>
  </si>
  <si>
    <t>55</t>
  </si>
  <si>
    <t>13210376</t>
  </si>
  <si>
    <t>Tyč ocelová kruhová jakost S355  D 20 mm</t>
  </si>
  <si>
    <t>13331780</t>
  </si>
  <si>
    <t>Tyč ocelová L rovnoramenná S235JR, rozměr 80 x 80 x 6 mm</t>
  </si>
  <si>
    <t>57</t>
  </si>
  <si>
    <t>13383425</t>
  </si>
  <si>
    <t>Tyč ocelová IPE 140, S235JR</t>
  </si>
  <si>
    <t>58</t>
  </si>
  <si>
    <t>13386435</t>
  </si>
  <si>
    <t>Tyč ocelová UPE 140 střední, S235</t>
  </si>
  <si>
    <t>59</t>
  </si>
  <si>
    <t>13485310</t>
  </si>
  <si>
    <t>Tyč ocelová UPE 180, S235JR</t>
  </si>
  <si>
    <t>60</t>
  </si>
  <si>
    <t>13482715</t>
  </si>
  <si>
    <t>Tyč ocelová IPE 200, S235JR</t>
  </si>
  <si>
    <t>61</t>
  </si>
  <si>
    <t>13485315</t>
  </si>
  <si>
    <t>Tyč ocelová UPE 200, S235JR</t>
  </si>
  <si>
    <t>62</t>
  </si>
  <si>
    <t>Tyč ocelová UPE 200, S355</t>
  </si>
  <si>
    <t>63</t>
  </si>
  <si>
    <t>13486315</t>
  </si>
  <si>
    <t>Tyč ocelová HEA 200, S355</t>
  </si>
  <si>
    <t>64</t>
  </si>
  <si>
    <t>13487115</t>
  </si>
  <si>
    <t>Tyč ocelová HEB 200, S355</t>
  </si>
  <si>
    <t>65</t>
  </si>
  <si>
    <t>13611210</t>
  </si>
  <si>
    <t>Plech hladký S235JR 3,00 x 1000 x 2000 mm</t>
  </si>
  <si>
    <t>66</t>
  </si>
  <si>
    <t>13611218</t>
  </si>
  <si>
    <t>Plech hladký S235JR 5,00 x 1000 x 2000 mm</t>
  </si>
  <si>
    <t>67</t>
  </si>
  <si>
    <t>68</t>
  </si>
  <si>
    <t>13611224</t>
  </si>
  <si>
    <t>Plech hladký S235JR 8,00 x 1000 x 2000 mm</t>
  </si>
  <si>
    <t>69</t>
  </si>
  <si>
    <t>13611228</t>
  </si>
  <si>
    <t>Plech hladký S235JR 10,00 x 1000 x 2000 mm</t>
  </si>
  <si>
    <t>70</t>
  </si>
  <si>
    <t>13611238</t>
  </si>
  <si>
    <t>Plech hladký S235JR 15,00 x 1000 x 2000 mm</t>
  </si>
  <si>
    <t>71</t>
  </si>
  <si>
    <t>13611248</t>
  </si>
  <si>
    <t>Plech hladký S235JR 20,00 x 1000 x 2000 mm</t>
  </si>
  <si>
    <t>72</t>
  </si>
  <si>
    <t>Plech hladký S235JR 16,00 x 1000 x 2000 mm</t>
  </si>
  <si>
    <t>73</t>
  </si>
  <si>
    <t>14115370</t>
  </si>
  <si>
    <t>Trubka bezešvá hladká 11 353, rozměr 51,0 x 5,0 mm</t>
  </si>
  <si>
    <t>74</t>
  </si>
  <si>
    <t>14587232</t>
  </si>
  <si>
    <t>Profil dutý čtvercový svařovaný S235JRH 30 x 3,0 mm</t>
  </si>
  <si>
    <t>75</t>
  </si>
  <si>
    <t>14587272</t>
  </si>
  <si>
    <t>Profil dutý čtvercový svařovaný S235JRH 60 x 3,0 mm</t>
  </si>
  <si>
    <t>76</t>
  </si>
  <si>
    <t>14587292</t>
  </si>
  <si>
    <t>Profil dutý čtvercový svařovaný S235JRH 80 x 4,0 mm</t>
  </si>
  <si>
    <t>77</t>
  </si>
  <si>
    <t>14587305</t>
  </si>
  <si>
    <t>Profil dutý čtvercový svařovaný S235JRH 120 x 5,0 mm</t>
  </si>
  <si>
    <t>78</t>
  </si>
  <si>
    <t>145873051</t>
  </si>
  <si>
    <t>Profil dutý čtvercový svařovaný S235JRH 120 x 6,0 mm</t>
  </si>
  <si>
    <t>79</t>
  </si>
  <si>
    <t>1458730532</t>
  </si>
  <si>
    <t>Profil dutý čtvercový svařovaný S235JRH 120 x 8,0 mm</t>
  </si>
  <si>
    <t>80</t>
  </si>
  <si>
    <t>979086112R00</t>
  </si>
  <si>
    <t>Nakládání nebo překládání  hmot</t>
  </si>
  <si>
    <t>81</t>
  </si>
  <si>
    <t>979082318R00</t>
  </si>
  <si>
    <t>Vodorovná doprava hmot po suchu do 6000 m</t>
  </si>
  <si>
    <t>82</t>
  </si>
  <si>
    <t>979082319R00</t>
  </si>
  <si>
    <t>Příplatek k vodor.dopravě po suchu, dalších 1000 m</t>
  </si>
  <si>
    <t>83</t>
  </si>
  <si>
    <t>M46</t>
  </si>
  <si>
    <t>Zemní práce při montážích</t>
  </si>
  <si>
    <t>84</t>
  </si>
  <si>
    <t>460600001RT8</t>
  </si>
  <si>
    <t>Naložení a odvoz zeminy</t>
  </si>
  <si>
    <t>M46_</t>
  </si>
  <si>
    <t>85</t>
  </si>
  <si>
    <t>583321601</t>
  </si>
  <si>
    <t>Kamenivo těžené 0/16</t>
  </si>
  <si>
    <t>Celkem:</t>
  </si>
  <si>
    <t>Poznámka:</t>
  </si>
  <si>
    <t>Jednotková cena (Kč)</t>
  </si>
  <si>
    <t>Náklady dodávka (Kč)</t>
  </si>
  <si>
    <t>Náklady montáž (Kč)</t>
  </si>
  <si>
    <t>Náklady celkem (Kč)</t>
  </si>
  <si>
    <t>Celková/MJ</t>
  </si>
  <si>
    <t>Celková hmotnost(t)</t>
  </si>
  <si>
    <t>P</t>
  </si>
  <si>
    <t>M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</si>
  <si>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</si>
  <si>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</si>
  <si>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</si>
  <si>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</si>
  <si>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</si>
  <si>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</si>
  <si>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Krycí list rozpočtu</t>
  </si>
  <si>
    <t>IČO/DIČ:</t>
  </si>
  <si>
    <t>88195818/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</si>
  <si>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</si>
  <si>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</si>
  <si>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</si>
  <si>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</si>
  <si>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</si>
  <si>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</si>
  <si>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</si>
  <si>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</si>
  <si>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</si>
  <si>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</si>
  <si>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</si>
  <si>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</si>
  <si>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</si>
  <si>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</si>
  <si>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</si>
  <si>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</si>
  <si>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</si>
  <si>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</si>
  <si>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</si>
  <si>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</si>
  <si>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</si>
  <si>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</si>
  <si>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</si>
  <si>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</si>
  <si>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</si>
  <si>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</si>
  <si>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</si>
  <si>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</si>
  <si>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</si>
  <si>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</si>
  <si>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</si>
  <si>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</si>
  <si>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</si>
  <si>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</si>
  <si>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</si>
  <si>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</si>
  <si>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</si>
  <si>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</si>
  <si>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</si>
  <si>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</si>
  <si>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</si>
  <si>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</si>
  <si>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</si>
  <si>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</si>
  <si>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</si>
  <si>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</si>
  <si>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</si>
  <si>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</si>
  <si>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</si>
  <si>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</si>
  <si>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</si>
  <si>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Zařízení staveniště (vč. nákladů na zpevnění příjezdové cesty)</t>
  </si>
  <si>
    <t>Geodetické a projekční práce (geodetické práce před výstavbou a při výstavbě, dokumentace skutečného provedení, geometrický plán, RDS, dokladová část ke kolaudaci vč. revizí a návodů k údržbě)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</si>
</sst>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4" fontId="3" fillId="0" borderId="40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4" fontId="2" fillId="2" borderId="38" xfId="0" applyNumberFormat="1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right" vertical="center"/>
    </xf>
    <xf numFmtId="1" fontId="3" fillId="0" borderId="39" xfId="0" applyNumberFormat="1" applyFont="1" applyBorder="1" applyAlignment="1">
      <alignment horizontal="left" vertical="center"/>
    </xf>
    <xf numFmtId="4" fontId="3" fillId="0" borderId="4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" fontId="3" fillId="0" borderId="37" xfId="0" applyNumberFormat="1" applyFont="1" applyBorder="1" applyAlignment="1">
      <alignment horizontal="right" vertical="center"/>
    </xf>
    <xf numFmtId="4" fontId="3" fillId="0" borderId="38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4" fontId="9" fillId="0" borderId="55" xfId="0" applyNumberFormat="1" applyFont="1" applyBorder="1" applyAlignment="1">
      <alignment horizontal="right" vertical="center"/>
    </xf>
    <xf numFmtId="0" fontId="8" fillId="0" borderId="58" xfId="0" applyFont="1" applyBorder="1" applyAlignment="1">
      <alignment horizontal="left" vertical="center"/>
    </xf>
    <xf numFmtId="0" fontId="9" fillId="0" borderId="55" xfId="0" applyFont="1" applyBorder="1" applyAlignment="1">
      <alignment horizontal="right" vertical="center"/>
    </xf>
    <xf numFmtId="4" fontId="9" fillId="0" borderId="62" xfId="0" applyNumberFormat="1" applyFont="1" applyBorder="1" applyAlignment="1">
      <alignment horizontal="right" vertical="center"/>
    </xf>
    <xf numFmtId="0" fontId="9" fillId="0" borderId="62" xfId="0" applyFont="1" applyBorder="1" applyAlignment="1">
      <alignment horizontal="right" vertical="center"/>
    </xf>
    <xf numFmtId="4" fontId="9" fillId="0" borderId="53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2" borderId="52" xfId="0" applyNumberFormat="1" applyFont="1" applyFill="1" applyBorder="1" applyAlignment="1">
      <alignment horizontal="right" vertical="center"/>
    </xf>
    <xf numFmtId="4" fontId="8" fillId="2" borderId="57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81" xfId="0" applyNumberFormat="1" applyFont="1" applyBorder="1" applyAlignment="1">
      <alignment horizontal="right" vertical="center"/>
    </xf>
    <xf numFmtId="0" fontId="3" fillId="0" borderId="81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5" xfId="0" applyFont="1" applyBorder="1" applyAlignment="1">
      <alignment horizontal="right" vertical="center"/>
    </xf>
    <xf numFmtId="4" fontId="2" fillId="0" borderId="85" xfId="0" applyNumberFormat="1" applyFont="1" applyBorder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4" fontId="3" fillId="4" borderId="4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10" fillId="0" borderId="7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0" fontId="8" fillId="2" borderId="65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66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4" fontId="8" fillId="0" borderId="86" xfId="0" applyNumberFormat="1" applyFont="1" applyBorder="1" applyAlignment="1">
      <alignment horizontal="right" vertical="center"/>
    </xf>
    <xf numFmtId="0" fontId="8" fillId="0" borderId="83" xfId="0" applyFont="1" applyBorder="1" applyAlignment="1">
      <alignment horizontal="right" vertical="center"/>
    </xf>
    <xf numFmtId="0" fontId="8" fillId="0" borderId="84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15"/>
  <sheetViews>
    <sheetView tabSelected="1" workbookViewId="0">
      <pane ySplit="11" topLeftCell="A12" activePane="bottomLeft" state="frozen"/>
      <selection pane="bottomLeft" activeCell="H78" sqref="H78"/>
    </sheetView>
  </sheetViews>
  <sheetFormatPr defaultColWidth="12.109375" defaultRowHeight="15" customHeight="1" x14ac:dyDescent="0.3"/>
  <cols>
    <col min="1" max="1" width="4" customWidth="1"/>
    <col min="2" max="2" width="7.5546875" customWidth="1"/>
    <col min="3" max="3" width="17.88671875" customWidth="1"/>
    <col min="4" max="4" width="42.88671875" customWidth="1"/>
    <col min="5" max="5" width="35.6640625" customWidth="1"/>
    <col min="6" max="6" width="7.5546875" customWidth="1"/>
    <col min="7" max="7" width="12.88671875" customWidth="1"/>
    <col min="8" max="8" width="12" customWidth="1"/>
    <col min="9" max="9" width="11.109375" customWidth="1"/>
    <col min="10" max="13" width="15.6640625" customWidth="1"/>
    <col min="14" max="15" width="11.6640625" customWidth="1"/>
    <col min="16" max="16" width="14.6640625" customWidth="1"/>
    <col min="25" max="75" width="12.109375" hidden="1"/>
    <col min="76" max="76" width="78.5546875" hidden="1" customWidth="1"/>
    <col min="77" max="78" width="12.109375" hidden="1"/>
  </cols>
  <sheetData>
    <row r="1" spans="1:76" ht="54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ht="14.4" x14ac:dyDescent="0.3">
      <c r="A2" s="98" t="s">
        <v>1</v>
      </c>
      <c r="B2" s="99"/>
      <c r="C2" s="99"/>
      <c r="D2" s="107" t="s">
        <v>2</v>
      </c>
      <c r="E2" s="108"/>
      <c r="F2" s="99" t="s">
        <v>3</v>
      </c>
      <c r="G2" s="99"/>
      <c r="H2" s="99" t="s">
        <v>4</v>
      </c>
      <c r="I2" s="105" t="s">
        <v>5</v>
      </c>
      <c r="J2" s="99"/>
      <c r="K2" s="105" t="s">
        <v>6</v>
      </c>
      <c r="L2" s="99"/>
      <c r="M2" s="99"/>
      <c r="N2" s="99"/>
      <c r="O2" s="99"/>
      <c r="P2" s="120"/>
    </row>
    <row r="3" spans="1:76" ht="14.4" x14ac:dyDescent="0.3">
      <c r="A3" s="100"/>
      <c r="B3" s="101"/>
      <c r="C3" s="101"/>
      <c r="D3" s="109"/>
      <c r="E3" s="109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21"/>
    </row>
    <row r="4" spans="1:76" ht="14.4" x14ac:dyDescent="0.3">
      <c r="A4" s="102" t="s">
        <v>7</v>
      </c>
      <c r="B4" s="101"/>
      <c r="C4" s="101"/>
      <c r="D4" s="106" t="s">
        <v>8</v>
      </c>
      <c r="E4" s="101"/>
      <c r="F4" s="101" t="s">
        <v>9</v>
      </c>
      <c r="G4" s="101"/>
      <c r="H4" s="101" t="s">
        <v>4</v>
      </c>
      <c r="I4" s="106" t="s">
        <v>10</v>
      </c>
      <c r="J4" s="101"/>
      <c r="K4" s="106" t="s">
        <v>11</v>
      </c>
      <c r="L4" s="101"/>
      <c r="M4" s="101"/>
      <c r="N4" s="101"/>
      <c r="O4" s="101"/>
      <c r="P4" s="121"/>
    </row>
    <row r="5" spans="1:76" ht="14.4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1"/>
    </row>
    <row r="6" spans="1:76" ht="14.4" x14ac:dyDescent="0.3">
      <c r="A6" s="102" t="s">
        <v>12</v>
      </c>
      <c r="B6" s="101"/>
      <c r="C6" s="101"/>
      <c r="D6" s="106" t="s">
        <v>13</v>
      </c>
      <c r="E6" s="101"/>
      <c r="F6" s="101" t="s">
        <v>14</v>
      </c>
      <c r="G6" s="101"/>
      <c r="H6" s="101" t="s">
        <v>4</v>
      </c>
      <c r="I6" s="106" t="s">
        <v>15</v>
      </c>
      <c r="J6" s="101"/>
      <c r="K6" s="106" t="s">
        <v>16</v>
      </c>
      <c r="L6" s="101"/>
      <c r="M6" s="101"/>
      <c r="N6" s="101"/>
      <c r="O6" s="101"/>
      <c r="P6" s="121"/>
    </row>
    <row r="7" spans="1:76" ht="14.4" x14ac:dyDescent="0.3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21"/>
    </row>
    <row r="8" spans="1:76" ht="14.4" x14ac:dyDescent="0.3">
      <c r="A8" s="102" t="s">
        <v>17</v>
      </c>
      <c r="B8" s="101"/>
      <c r="C8" s="101"/>
      <c r="D8" s="106" t="s">
        <v>4</v>
      </c>
      <c r="E8" s="101"/>
      <c r="F8" s="101" t="s">
        <v>18</v>
      </c>
      <c r="G8" s="101"/>
      <c r="H8" s="101" t="s">
        <v>19</v>
      </c>
      <c r="I8" s="106" t="s">
        <v>20</v>
      </c>
      <c r="J8" s="101"/>
      <c r="K8" s="101" t="s">
        <v>21</v>
      </c>
      <c r="L8" s="101"/>
      <c r="M8" s="101"/>
      <c r="N8" s="101"/>
      <c r="O8" s="101"/>
      <c r="P8" s="121"/>
    </row>
    <row r="9" spans="1:76" ht="14.4" x14ac:dyDescent="0.3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22"/>
    </row>
    <row r="10" spans="1:76" ht="14.4" x14ac:dyDescent="0.3">
      <c r="A10" s="6" t="s">
        <v>22</v>
      </c>
      <c r="B10" s="7" t="s">
        <v>23</v>
      </c>
      <c r="C10" s="7" t="s">
        <v>24</v>
      </c>
      <c r="D10" s="123" t="s">
        <v>25</v>
      </c>
      <c r="E10" s="124"/>
      <c r="F10" s="7" t="s">
        <v>26</v>
      </c>
      <c r="G10" s="8" t="s">
        <v>27</v>
      </c>
      <c r="H10" s="9" t="s">
        <v>28</v>
      </c>
      <c r="I10" s="10" t="s">
        <v>29</v>
      </c>
      <c r="J10" s="112" t="s">
        <v>30</v>
      </c>
      <c r="K10" s="113"/>
      <c r="L10" s="114"/>
      <c r="M10" s="11" t="s">
        <v>30</v>
      </c>
      <c r="N10" s="115" t="s">
        <v>31</v>
      </c>
      <c r="O10" s="116"/>
      <c r="P10" s="12" t="s">
        <v>32</v>
      </c>
      <c r="BK10" s="13" t="s">
        <v>33</v>
      </c>
      <c r="BL10" s="14" t="s">
        <v>34</v>
      </c>
      <c r="BW10" s="14" t="s">
        <v>35</v>
      </c>
    </row>
    <row r="11" spans="1:76" ht="14.4" x14ac:dyDescent="0.3">
      <c r="A11" s="15" t="s">
        <v>4</v>
      </c>
      <c r="B11" s="16" t="s">
        <v>4</v>
      </c>
      <c r="C11" s="16" t="s">
        <v>4</v>
      </c>
      <c r="D11" s="110" t="s">
        <v>36</v>
      </c>
      <c r="E11" s="111"/>
      <c r="F11" s="16" t="s">
        <v>4</v>
      </c>
      <c r="G11" s="16" t="s">
        <v>4</v>
      </c>
      <c r="H11" s="17" t="s">
        <v>37</v>
      </c>
      <c r="I11" s="18" t="s">
        <v>4</v>
      </c>
      <c r="J11" s="19" t="s">
        <v>38</v>
      </c>
      <c r="K11" s="20" t="s">
        <v>39</v>
      </c>
      <c r="L11" s="21" t="s">
        <v>40</v>
      </c>
      <c r="M11" s="22" t="s">
        <v>41</v>
      </c>
      <c r="N11" s="23" t="s">
        <v>42</v>
      </c>
      <c r="O11" s="24" t="s">
        <v>40</v>
      </c>
      <c r="P11" s="25" t="s">
        <v>43</v>
      </c>
      <c r="Z11" s="13" t="s">
        <v>44</v>
      </c>
      <c r="AA11" s="13" t="s">
        <v>45</v>
      </c>
      <c r="AB11" s="13" t="s">
        <v>46</v>
      </c>
      <c r="AC11" s="13" t="s">
        <v>47</v>
      </c>
      <c r="AD11" s="13" t="s">
        <v>48</v>
      </c>
      <c r="AE11" s="13" t="s">
        <v>49</v>
      </c>
      <c r="AF11" s="13" t="s">
        <v>50</v>
      </c>
      <c r="AG11" s="13" t="s">
        <v>51</v>
      </c>
      <c r="AH11" s="13" t="s">
        <v>52</v>
      </c>
      <c r="BH11" s="13" t="s">
        <v>53</v>
      </c>
      <c r="BI11" s="13" t="s">
        <v>54</v>
      </c>
      <c r="BJ11" s="13" t="s">
        <v>55</v>
      </c>
    </row>
    <row r="12" spans="1:76" ht="14.4" x14ac:dyDescent="0.3">
      <c r="A12" s="26" t="s">
        <v>56</v>
      </c>
      <c r="B12" s="27" t="s">
        <v>56</v>
      </c>
      <c r="C12" s="27" t="s">
        <v>57</v>
      </c>
      <c r="D12" s="117" t="s">
        <v>58</v>
      </c>
      <c r="E12" s="118"/>
      <c r="F12" s="29" t="s">
        <v>4</v>
      </c>
      <c r="G12" s="29" t="s">
        <v>4</v>
      </c>
      <c r="H12" s="29" t="s">
        <v>4</v>
      </c>
      <c r="I12" s="29" t="s">
        <v>4</v>
      </c>
      <c r="J12" s="30">
        <f>SUM(J13:J17)</f>
        <v>0</v>
      </c>
      <c r="K12" s="30">
        <f>SUM(K13:K17)</f>
        <v>0</v>
      </c>
      <c r="L12" s="30">
        <f>SUM(L13:L17)</f>
        <v>0</v>
      </c>
      <c r="M12" s="30">
        <f>SUM(M13:M17)</f>
        <v>0</v>
      </c>
      <c r="N12" s="31" t="s">
        <v>56</v>
      </c>
      <c r="O12" s="30">
        <f>SUM(O13:O17)</f>
        <v>0</v>
      </c>
      <c r="P12" s="32" t="s">
        <v>56</v>
      </c>
      <c r="AI12" s="13" t="s">
        <v>56</v>
      </c>
      <c r="AS12" s="1">
        <f>SUM(AJ13:AJ17)</f>
        <v>0</v>
      </c>
      <c r="AT12" s="1">
        <f>SUM(AK13:AK17)</f>
        <v>0</v>
      </c>
      <c r="AU12" s="1">
        <f>SUM(AL13:AL17)</f>
        <v>0</v>
      </c>
    </row>
    <row r="13" spans="1:76" ht="14.4" x14ac:dyDescent="0.3">
      <c r="A13" s="2" t="s">
        <v>59</v>
      </c>
      <c r="B13" s="3" t="s">
        <v>56</v>
      </c>
      <c r="C13" s="3" t="s">
        <v>60</v>
      </c>
      <c r="D13" s="119" t="s">
        <v>427</v>
      </c>
      <c r="E13" s="119"/>
      <c r="F13" s="3" t="s">
        <v>62</v>
      </c>
      <c r="G13" s="33">
        <v>1</v>
      </c>
      <c r="H13" s="95"/>
      <c r="I13" s="34" t="s">
        <v>63</v>
      </c>
      <c r="J13" s="33">
        <f>G13*AO13</f>
        <v>0</v>
      </c>
      <c r="K13" s="33">
        <f>G13*AP13</f>
        <v>0</v>
      </c>
      <c r="L13" s="33">
        <f>G13*H13</f>
        <v>0</v>
      </c>
      <c r="M13" s="33">
        <f>L13*(1+BW13/100)</f>
        <v>0</v>
      </c>
      <c r="N13" s="33">
        <v>0</v>
      </c>
      <c r="O13" s="33">
        <f>G13*N13</f>
        <v>0</v>
      </c>
      <c r="P13" s="35" t="s">
        <v>64</v>
      </c>
      <c r="Z13" s="33">
        <f>IF(AQ13="5",BJ13,0)</f>
        <v>0</v>
      </c>
      <c r="AB13" s="33">
        <f>IF(AQ13="1",BH13,0)</f>
        <v>0</v>
      </c>
      <c r="AC13" s="33">
        <f>IF(AQ13="1",BI13,0)</f>
        <v>0</v>
      </c>
      <c r="AD13" s="33">
        <f>IF(AQ13="7",BH13,0)</f>
        <v>0</v>
      </c>
      <c r="AE13" s="33">
        <f>IF(AQ13="7",BI13,0)</f>
        <v>0</v>
      </c>
      <c r="AF13" s="33">
        <f>IF(AQ13="2",BH13,0)</f>
        <v>0</v>
      </c>
      <c r="AG13" s="33">
        <f>IF(AQ13="2",BI13,0)</f>
        <v>0</v>
      </c>
      <c r="AH13" s="33">
        <f>IF(AQ13="0",BJ13,0)</f>
        <v>0</v>
      </c>
      <c r="AI13" s="13" t="s">
        <v>56</v>
      </c>
      <c r="AJ13" s="33">
        <f>IF(AN13=0,L13,0)</f>
        <v>0</v>
      </c>
      <c r="AK13" s="33">
        <f>IF(AN13=12,L13,0)</f>
        <v>0</v>
      </c>
      <c r="AL13" s="33">
        <f>IF(AN13=21,L13,0)</f>
        <v>0</v>
      </c>
      <c r="AN13" s="33">
        <v>21</v>
      </c>
      <c r="AO13" s="33">
        <f>H13*0</f>
        <v>0</v>
      </c>
      <c r="AP13" s="33">
        <f>H13*(1-0)</f>
        <v>0</v>
      </c>
      <c r="AQ13" s="34" t="s">
        <v>59</v>
      </c>
      <c r="AV13" s="33">
        <f>AW13+AX13</f>
        <v>0</v>
      </c>
      <c r="AW13" s="33">
        <f>G13*AO13</f>
        <v>0</v>
      </c>
      <c r="AX13" s="33">
        <f>G13*AP13</f>
        <v>0</v>
      </c>
      <c r="AY13" s="34" t="s">
        <v>65</v>
      </c>
      <c r="AZ13" s="34" t="s">
        <v>65</v>
      </c>
      <c r="BA13" s="13" t="s">
        <v>66</v>
      </c>
      <c r="BC13" s="33">
        <f>AW13+AX13</f>
        <v>0</v>
      </c>
      <c r="BD13" s="33">
        <f>H13/(100-BE13)*100</f>
        <v>0</v>
      </c>
      <c r="BE13" s="33">
        <v>0</v>
      </c>
      <c r="BF13" s="33">
        <f>O13</f>
        <v>0</v>
      </c>
      <c r="BH13" s="33">
        <f>G13*AO13</f>
        <v>0</v>
      </c>
      <c r="BI13" s="33">
        <f>G13*AP13</f>
        <v>0</v>
      </c>
      <c r="BJ13" s="33">
        <f>G13*H13</f>
        <v>0</v>
      </c>
      <c r="BK13" s="33"/>
      <c r="BL13" s="33">
        <v>0</v>
      </c>
      <c r="BW13" s="33" t="str">
        <f>I13</f>
        <v>21</v>
      </c>
      <c r="BX13" s="5" t="s">
        <v>61</v>
      </c>
    </row>
    <row r="14" spans="1:76" ht="14.4" x14ac:dyDescent="0.3">
      <c r="A14" s="2" t="s">
        <v>67</v>
      </c>
      <c r="B14" s="3" t="s">
        <v>56</v>
      </c>
      <c r="C14" s="3" t="s">
        <v>68</v>
      </c>
      <c r="D14" s="106" t="s">
        <v>69</v>
      </c>
      <c r="E14" s="101"/>
      <c r="F14" s="3" t="s">
        <v>62</v>
      </c>
      <c r="G14" s="33">
        <v>1</v>
      </c>
      <c r="H14" s="95"/>
      <c r="I14" s="34" t="s">
        <v>63</v>
      </c>
      <c r="J14" s="33">
        <f>G14*AO14</f>
        <v>0</v>
      </c>
      <c r="K14" s="33">
        <f>G14*AP14</f>
        <v>0</v>
      </c>
      <c r="L14" s="33">
        <f>G14*H14</f>
        <v>0</v>
      </c>
      <c r="M14" s="33">
        <f>L14*(1+BW14/100)</f>
        <v>0</v>
      </c>
      <c r="N14" s="33">
        <v>0</v>
      </c>
      <c r="O14" s="33">
        <f>G14*N14</f>
        <v>0</v>
      </c>
      <c r="P14" s="35" t="s">
        <v>64</v>
      </c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13" t="s">
        <v>56</v>
      </c>
      <c r="AJ14" s="33">
        <f>IF(AN14=0,L14,0)</f>
        <v>0</v>
      </c>
      <c r="AK14" s="33">
        <f>IF(AN14=12,L14,0)</f>
        <v>0</v>
      </c>
      <c r="AL14" s="33">
        <f>IF(AN14=21,L14,0)</f>
        <v>0</v>
      </c>
      <c r="AN14" s="33">
        <v>21</v>
      </c>
      <c r="AO14" s="33">
        <f>H14*0</f>
        <v>0</v>
      </c>
      <c r="AP14" s="33">
        <f>H14*(1-0)</f>
        <v>0</v>
      </c>
      <c r="AQ14" s="34" t="s">
        <v>59</v>
      </c>
      <c r="AV14" s="33">
        <f>AW14+AX14</f>
        <v>0</v>
      </c>
      <c r="AW14" s="33">
        <f>G14*AO14</f>
        <v>0</v>
      </c>
      <c r="AX14" s="33">
        <f>G14*AP14</f>
        <v>0</v>
      </c>
      <c r="AY14" s="34" t="s">
        <v>65</v>
      </c>
      <c r="AZ14" s="34" t="s">
        <v>65</v>
      </c>
      <c r="BA14" s="13" t="s">
        <v>66</v>
      </c>
      <c r="BC14" s="33">
        <f>AW14+AX14</f>
        <v>0</v>
      </c>
      <c r="BD14" s="33">
        <f>H14/(100-BE14)*100</f>
        <v>0</v>
      </c>
      <c r="BE14" s="33">
        <v>0</v>
      </c>
      <c r="BF14" s="33">
        <f>O14</f>
        <v>0</v>
      </c>
      <c r="BH14" s="33">
        <f>G14*AO14</f>
        <v>0</v>
      </c>
      <c r="BI14" s="33">
        <f>G14*AP14</f>
        <v>0</v>
      </c>
      <c r="BJ14" s="33">
        <f>G14*H14</f>
        <v>0</v>
      </c>
      <c r="BK14" s="33"/>
      <c r="BL14" s="33">
        <v>0</v>
      </c>
      <c r="BW14" s="33" t="str">
        <f>I14</f>
        <v>21</v>
      </c>
      <c r="BX14" s="5" t="s">
        <v>69</v>
      </c>
    </row>
    <row r="15" spans="1:76" ht="14.4" x14ac:dyDescent="0.3">
      <c r="A15" s="2" t="s">
        <v>70</v>
      </c>
      <c r="B15" s="3" t="s">
        <v>56</v>
      </c>
      <c r="C15" s="3" t="s">
        <v>60</v>
      </c>
      <c r="D15" s="106" t="s">
        <v>71</v>
      </c>
      <c r="E15" s="101"/>
      <c r="F15" s="3" t="s">
        <v>62</v>
      </c>
      <c r="G15" s="33">
        <v>1</v>
      </c>
      <c r="H15" s="95"/>
      <c r="I15" s="34" t="s">
        <v>63</v>
      </c>
      <c r="J15" s="33">
        <f>G15*AO15</f>
        <v>0</v>
      </c>
      <c r="K15" s="33">
        <f>G15*AP15</f>
        <v>0</v>
      </c>
      <c r="L15" s="33">
        <f>G15*H15</f>
        <v>0</v>
      </c>
      <c r="M15" s="33">
        <f>L15*(1+BW15/100)</f>
        <v>0</v>
      </c>
      <c r="N15" s="33">
        <v>0</v>
      </c>
      <c r="O15" s="33">
        <f>G15*N15</f>
        <v>0</v>
      </c>
      <c r="P15" s="35" t="s">
        <v>64</v>
      </c>
      <c r="Z15" s="33">
        <f>IF(AQ15="5",BJ15,0)</f>
        <v>0</v>
      </c>
      <c r="AB15" s="33">
        <f>IF(AQ15="1",BH15,0)</f>
        <v>0</v>
      </c>
      <c r="AC15" s="33">
        <f>IF(AQ15="1",BI15,0)</f>
        <v>0</v>
      </c>
      <c r="AD15" s="33">
        <f>IF(AQ15="7",BH15,0)</f>
        <v>0</v>
      </c>
      <c r="AE15" s="33">
        <f>IF(AQ15="7",BI15,0)</f>
        <v>0</v>
      </c>
      <c r="AF15" s="33">
        <f>IF(AQ15="2",BH15,0)</f>
        <v>0</v>
      </c>
      <c r="AG15" s="33">
        <f>IF(AQ15="2",BI15,0)</f>
        <v>0</v>
      </c>
      <c r="AH15" s="33">
        <f>IF(AQ15="0",BJ15,0)</f>
        <v>0</v>
      </c>
      <c r="AI15" s="13" t="s">
        <v>56</v>
      </c>
      <c r="AJ15" s="33">
        <f>IF(AN15=0,L15,0)</f>
        <v>0</v>
      </c>
      <c r="AK15" s="33">
        <f>IF(AN15=12,L15,0)</f>
        <v>0</v>
      </c>
      <c r="AL15" s="33">
        <f>IF(AN15=21,L15,0)</f>
        <v>0</v>
      </c>
      <c r="AN15" s="33">
        <v>21</v>
      </c>
      <c r="AO15" s="33">
        <f>H15*0</f>
        <v>0</v>
      </c>
      <c r="AP15" s="33">
        <f>H15*(1-0)</f>
        <v>0</v>
      </c>
      <c r="AQ15" s="34" t="s">
        <v>59</v>
      </c>
      <c r="AV15" s="33">
        <f>AW15+AX15</f>
        <v>0</v>
      </c>
      <c r="AW15" s="33">
        <f>G15*AO15</f>
        <v>0</v>
      </c>
      <c r="AX15" s="33">
        <f>G15*AP15</f>
        <v>0</v>
      </c>
      <c r="AY15" s="34" t="s">
        <v>65</v>
      </c>
      <c r="AZ15" s="34" t="s">
        <v>65</v>
      </c>
      <c r="BA15" s="13" t="s">
        <v>66</v>
      </c>
      <c r="BC15" s="33">
        <f>AW15+AX15</f>
        <v>0</v>
      </c>
      <c r="BD15" s="33">
        <f>H15/(100-BE15)*100</f>
        <v>0</v>
      </c>
      <c r="BE15" s="33">
        <v>0</v>
      </c>
      <c r="BF15" s="33">
        <f>O15</f>
        <v>0</v>
      </c>
      <c r="BH15" s="33">
        <f>G15*AO15</f>
        <v>0</v>
      </c>
      <c r="BI15" s="33">
        <f>G15*AP15</f>
        <v>0</v>
      </c>
      <c r="BJ15" s="33">
        <f>G15*H15</f>
        <v>0</v>
      </c>
      <c r="BK15" s="33"/>
      <c r="BL15" s="33">
        <v>0</v>
      </c>
      <c r="BW15" s="33" t="str">
        <f>I15</f>
        <v>21</v>
      </c>
      <c r="BX15" s="5" t="s">
        <v>71</v>
      </c>
    </row>
    <row r="16" spans="1:76" ht="14.4" x14ac:dyDescent="0.3">
      <c r="A16" s="2" t="s">
        <v>72</v>
      </c>
      <c r="B16" s="3" t="s">
        <v>56</v>
      </c>
      <c r="C16" s="3" t="s">
        <v>60</v>
      </c>
      <c r="D16" s="106" t="s">
        <v>73</v>
      </c>
      <c r="E16" s="101"/>
      <c r="F16" s="3" t="s">
        <v>62</v>
      </c>
      <c r="G16" s="33">
        <v>1</v>
      </c>
      <c r="H16" s="95"/>
      <c r="I16" s="34" t="s">
        <v>63</v>
      </c>
      <c r="J16" s="33">
        <f>G16*AO16</f>
        <v>0</v>
      </c>
      <c r="K16" s="33">
        <f>G16*AP16</f>
        <v>0</v>
      </c>
      <c r="L16" s="33">
        <f>G16*H16</f>
        <v>0</v>
      </c>
      <c r="M16" s="33">
        <f>L16*(1+BW16/100)</f>
        <v>0</v>
      </c>
      <c r="N16" s="33">
        <v>0</v>
      </c>
      <c r="O16" s="33">
        <f>G16*N16</f>
        <v>0</v>
      </c>
      <c r="P16" s="35" t="s">
        <v>64</v>
      </c>
      <c r="Z16" s="33">
        <f>IF(AQ16="5",BJ16,0)</f>
        <v>0</v>
      </c>
      <c r="AB16" s="33">
        <f>IF(AQ16="1",BH16,0)</f>
        <v>0</v>
      </c>
      <c r="AC16" s="33">
        <f>IF(AQ16="1",BI16,0)</f>
        <v>0</v>
      </c>
      <c r="AD16" s="33">
        <f>IF(AQ16="7",BH16,0)</f>
        <v>0</v>
      </c>
      <c r="AE16" s="33">
        <f>IF(AQ16="7",BI16,0)</f>
        <v>0</v>
      </c>
      <c r="AF16" s="33">
        <f>IF(AQ16="2",BH16,0)</f>
        <v>0</v>
      </c>
      <c r="AG16" s="33">
        <f>IF(AQ16="2",BI16,0)</f>
        <v>0</v>
      </c>
      <c r="AH16" s="33">
        <f>IF(AQ16="0",BJ16,0)</f>
        <v>0</v>
      </c>
      <c r="AI16" s="13" t="s">
        <v>56</v>
      </c>
      <c r="AJ16" s="33">
        <f>IF(AN16=0,L16,0)</f>
        <v>0</v>
      </c>
      <c r="AK16" s="33">
        <f>IF(AN16=12,L16,0)</f>
        <v>0</v>
      </c>
      <c r="AL16" s="33">
        <f>IF(AN16=21,L16,0)</f>
        <v>0</v>
      </c>
      <c r="AN16" s="33">
        <v>21</v>
      </c>
      <c r="AO16" s="33">
        <f>H16*0</f>
        <v>0</v>
      </c>
      <c r="AP16" s="33">
        <f>H16*(1-0)</f>
        <v>0</v>
      </c>
      <c r="AQ16" s="34" t="s">
        <v>59</v>
      </c>
      <c r="AV16" s="33">
        <f>AW16+AX16</f>
        <v>0</v>
      </c>
      <c r="AW16" s="33">
        <f>G16*AO16</f>
        <v>0</v>
      </c>
      <c r="AX16" s="33">
        <f>G16*AP16</f>
        <v>0</v>
      </c>
      <c r="AY16" s="34" t="s">
        <v>65</v>
      </c>
      <c r="AZ16" s="34" t="s">
        <v>65</v>
      </c>
      <c r="BA16" s="13" t="s">
        <v>66</v>
      </c>
      <c r="BC16" s="33">
        <f>AW16+AX16</f>
        <v>0</v>
      </c>
      <c r="BD16" s="33">
        <f>H16/(100-BE16)*100</f>
        <v>0</v>
      </c>
      <c r="BE16" s="33">
        <v>0</v>
      </c>
      <c r="BF16" s="33">
        <f>O16</f>
        <v>0</v>
      </c>
      <c r="BH16" s="33">
        <f>G16*AO16</f>
        <v>0</v>
      </c>
      <c r="BI16" s="33">
        <f>G16*AP16</f>
        <v>0</v>
      </c>
      <c r="BJ16" s="33">
        <f>G16*H16</f>
        <v>0</v>
      </c>
      <c r="BK16" s="33"/>
      <c r="BL16" s="33">
        <v>0</v>
      </c>
      <c r="BW16" s="33" t="str">
        <f>I16</f>
        <v>21</v>
      </c>
      <c r="BX16" s="5" t="s">
        <v>73</v>
      </c>
    </row>
    <row r="17" spans="1:76" ht="42" customHeight="1" x14ac:dyDescent="0.3">
      <c r="A17" s="2" t="s">
        <v>74</v>
      </c>
      <c r="B17" s="3" t="s">
        <v>56</v>
      </c>
      <c r="C17" s="3" t="s">
        <v>60</v>
      </c>
      <c r="D17" s="119" t="s">
        <v>428</v>
      </c>
      <c r="E17" s="119"/>
      <c r="F17" s="3" t="s">
        <v>62</v>
      </c>
      <c r="G17" s="33">
        <v>1</v>
      </c>
      <c r="H17" s="95"/>
      <c r="I17" s="34" t="s">
        <v>63</v>
      </c>
      <c r="J17" s="33">
        <f>G17*AO17</f>
        <v>0</v>
      </c>
      <c r="K17" s="33">
        <f>G17*AP17</f>
        <v>0</v>
      </c>
      <c r="L17" s="33">
        <f>G17*H17</f>
        <v>0</v>
      </c>
      <c r="M17" s="33">
        <f>L17*(1+BW17/100)</f>
        <v>0</v>
      </c>
      <c r="N17" s="33">
        <v>0</v>
      </c>
      <c r="O17" s="33">
        <f>G17*N17</f>
        <v>0</v>
      </c>
      <c r="P17" s="35" t="s">
        <v>64</v>
      </c>
      <c r="Z17" s="33">
        <f>IF(AQ17="5",BJ17,0)</f>
        <v>0</v>
      </c>
      <c r="AB17" s="33">
        <f>IF(AQ17="1",BH17,0)</f>
        <v>0</v>
      </c>
      <c r="AC17" s="33">
        <f>IF(AQ17="1",BI17,0)</f>
        <v>0</v>
      </c>
      <c r="AD17" s="33">
        <f>IF(AQ17="7",BH17,0)</f>
        <v>0</v>
      </c>
      <c r="AE17" s="33">
        <f>IF(AQ17="7",BI17,0)</f>
        <v>0</v>
      </c>
      <c r="AF17" s="33">
        <f>IF(AQ17="2",BH17,0)</f>
        <v>0</v>
      </c>
      <c r="AG17" s="33">
        <f>IF(AQ17="2",BI17,0)</f>
        <v>0</v>
      </c>
      <c r="AH17" s="33">
        <f>IF(AQ17="0",BJ17,0)</f>
        <v>0</v>
      </c>
      <c r="AI17" s="13" t="s">
        <v>56</v>
      </c>
      <c r="AJ17" s="33">
        <f>IF(AN17=0,L17,0)</f>
        <v>0</v>
      </c>
      <c r="AK17" s="33">
        <f>IF(AN17=12,L17,0)</f>
        <v>0</v>
      </c>
      <c r="AL17" s="33">
        <f>IF(AN17=21,L17,0)</f>
        <v>0</v>
      </c>
      <c r="AN17" s="33">
        <v>21</v>
      </c>
      <c r="AO17" s="33">
        <f>H17*0</f>
        <v>0</v>
      </c>
      <c r="AP17" s="33">
        <f>H17*(1-0)</f>
        <v>0</v>
      </c>
      <c r="AQ17" s="34" t="s">
        <v>59</v>
      </c>
      <c r="AV17" s="33">
        <f>AW17+AX17</f>
        <v>0</v>
      </c>
      <c r="AW17" s="33">
        <f>G17*AO17</f>
        <v>0</v>
      </c>
      <c r="AX17" s="33">
        <f>G17*AP17</f>
        <v>0</v>
      </c>
      <c r="AY17" s="34" t="s">
        <v>65</v>
      </c>
      <c r="AZ17" s="34" t="s">
        <v>65</v>
      </c>
      <c r="BA17" s="13" t="s">
        <v>66</v>
      </c>
      <c r="BC17" s="33">
        <f>AW17+AX17</f>
        <v>0</v>
      </c>
      <c r="BD17" s="33">
        <f>H17/(100-BE17)*100</f>
        <v>0</v>
      </c>
      <c r="BE17" s="33">
        <v>0</v>
      </c>
      <c r="BF17" s="33">
        <f>O17</f>
        <v>0</v>
      </c>
      <c r="BH17" s="33">
        <f>G17*AO17</f>
        <v>0</v>
      </c>
      <c r="BI17" s="33">
        <f>G17*AP17</f>
        <v>0</v>
      </c>
      <c r="BJ17" s="33">
        <f>G17*H17</f>
        <v>0</v>
      </c>
      <c r="BK17" s="33"/>
      <c r="BL17" s="33">
        <v>0</v>
      </c>
      <c r="BW17" s="33" t="str">
        <f>I17</f>
        <v>21</v>
      </c>
      <c r="BX17" s="5" t="s">
        <v>75</v>
      </c>
    </row>
    <row r="18" spans="1:76" ht="14.4" x14ac:dyDescent="0.3">
      <c r="A18" s="36" t="s">
        <v>56</v>
      </c>
      <c r="B18" s="37" t="s">
        <v>56</v>
      </c>
      <c r="C18" s="37" t="s">
        <v>59</v>
      </c>
      <c r="D18" s="125" t="s">
        <v>76</v>
      </c>
      <c r="E18" s="126"/>
      <c r="F18" s="39" t="s">
        <v>4</v>
      </c>
      <c r="G18" s="39" t="s">
        <v>4</v>
      </c>
      <c r="H18" s="39" t="s">
        <v>4</v>
      </c>
      <c r="I18" s="39" t="s">
        <v>4</v>
      </c>
      <c r="J18" s="1">
        <f>SUM(J19:J19)</f>
        <v>0</v>
      </c>
      <c r="K18" s="1">
        <f>SUM(K19:K19)</f>
        <v>0</v>
      </c>
      <c r="L18" s="1">
        <f>SUM(L19:L19)</f>
        <v>0</v>
      </c>
      <c r="M18" s="1">
        <f>SUM(M19:M19)</f>
        <v>0</v>
      </c>
      <c r="N18" s="13" t="s">
        <v>56</v>
      </c>
      <c r="O18" s="1">
        <f>SUM(O19:O19)</f>
        <v>0</v>
      </c>
      <c r="P18" s="40" t="s">
        <v>56</v>
      </c>
      <c r="AI18" s="13" t="s">
        <v>56</v>
      </c>
      <c r="AS18" s="1">
        <f>SUM(AJ19:AJ19)</f>
        <v>0</v>
      </c>
      <c r="AT18" s="1">
        <f>SUM(AK19:AK19)</f>
        <v>0</v>
      </c>
      <c r="AU18" s="1">
        <f>SUM(AL19:AL19)</f>
        <v>0</v>
      </c>
    </row>
    <row r="19" spans="1:76" ht="14.4" x14ac:dyDescent="0.3">
      <c r="A19" s="2" t="s">
        <v>77</v>
      </c>
      <c r="B19" s="3" t="s">
        <v>56</v>
      </c>
      <c r="C19" s="3" t="s">
        <v>78</v>
      </c>
      <c r="D19" s="106" t="s">
        <v>79</v>
      </c>
      <c r="E19" s="101"/>
      <c r="F19" s="3" t="s">
        <v>80</v>
      </c>
      <c r="G19" s="33">
        <v>30</v>
      </c>
      <c r="H19" s="95"/>
      <c r="I19" s="34" t="s">
        <v>63</v>
      </c>
      <c r="J19" s="33">
        <f>G19*AO19</f>
        <v>0</v>
      </c>
      <c r="K19" s="33">
        <f>G19*AP19</f>
        <v>0</v>
      </c>
      <c r="L19" s="33">
        <f>G19*H19</f>
        <v>0</v>
      </c>
      <c r="M19" s="33">
        <f>L19*(1+BW19/100)</f>
        <v>0</v>
      </c>
      <c r="N19" s="33">
        <v>0</v>
      </c>
      <c r="O19" s="33">
        <f>G19*N19</f>
        <v>0</v>
      </c>
      <c r="P19" s="35" t="s">
        <v>81</v>
      </c>
      <c r="Z19" s="33">
        <f>IF(AQ19="5",BJ19,0)</f>
        <v>0</v>
      </c>
      <c r="AB19" s="33">
        <f>IF(AQ19="1",BH19,0)</f>
        <v>0</v>
      </c>
      <c r="AC19" s="33">
        <f>IF(AQ19="1",BI19,0)</f>
        <v>0</v>
      </c>
      <c r="AD19" s="33">
        <f>IF(AQ19="7",BH19,0)</f>
        <v>0</v>
      </c>
      <c r="AE19" s="33">
        <f>IF(AQ19="7",BI19,0)</f>
        <v>0</v>
      </c>
      <c r="AF19" s="33">
        <f>IF(AQ19="2",BH19,0)</f>
        <v>0</v>
      </c>
      <c r="AG19" s="33">
        <f>IF(AQ19="2",BI19,0)</f>
        <v>0</v>
      </c>
      <c r="AH19" s="33">
        <f>IF(AQ19="0",BJ19,0)</f>
        <v>0</v>
      </c>
      <c r="AI19" s="13" t="s">
        <v>56</v>
      </c>
      <c r="AJ19" s="33">
        <f>IF(AN19=0,L19,0)</f>
        <v>0</v>
      </c>
      <c r="AK19" s="33">
        <f>IF(AN19=12,L19,0)</f>
        <v>0</v>
      </c>
      <c r="AL19" s="33">
        <f>IF(AN19=21,L19,0)</f>
        <v>0</v>
      </c>
      <c r="AN19" s="33">
        <v>21</v>
      </c>
      <c r="AO19" s="33">
        <f>H19*0</f>
        <v>0</v>
      </c>
      <c r="AP19" s="33">
        <f>H19*(1-0)</f>
        <v>0</v>
      </c>
      <c r="AQ19" s="34" t="s">
        <v>59</v>
      </c>
      <c r="AV19" s="33">
        <f>AW19+AX19</f>
        <v>0</v>
      </c>
      <c r="AW19" s="33">
        <f>G19*AO19</f>
        <v>0</v>
      </c>
      <c r="AX19" s="33">
        <f>G19*AP19</f>
        <v>0</v>
      </c>
      <c r="AY19" s="34" t="s">
        <v>82</v>
      </c>
      <c r="AZ19" s="34" t="s">
        <v>82</v>
      </c>
      <c r="BA19" s="13" t="s">
        <v>66</v>
      </c>
      <c r="BC19" s="33">
        <f>AW19+AX19</f>
        <v>0</v>
      </c>
      <c r="BD19" s="33">
        <f>H19/(100-BE19)*100</f>
        <v>0</v>
      </c>
      <c r="BE19" s="33">
        <v>0</v>
      </c>
      <c r="BF19" s="33">
        <f>O19</f>
        <v>0</v>
      </c>
      <c r="BH19" s="33">
        <f>G19*AO19</f>
        <v>0</v>
      </c>
      <c r="BI19" s="33">
        <f>G19*AP19</f>
        <v>0</v>
      </c>
      <c r="BJ19" s="33">
        <f>G19*H19</f>
        <v>0</v>
      </c>
      <c r="BK19" s="33"/>
      <c r="BL19" s="33">
        <v>1</v>
      </c>
      <c r="BW19" s="33" t="str">
        <f>I19</f>
        <v>21</v>
      </c>
      <c r="BX19" s="5" t="s">
        <v>79</v>
      </c>
    </row>
    <row r="20" spans="1:76" ht="14.4" x14ac:dyDescent="0.3">
      <c r="A20" s="36" t="s">
        <v>56</v>
      </c>
      <c r="B20" s="37" t="s">
        <v>56</v>
      </c>
      <c r="C20" s="37" t="s">
        <v>83</v>
      </c>
      <c r="D20" s="125" t="s">
        <v>84</v>
      </c>
      <c r="E20" s="126"/>
      <c r="F20" s="39" t="s">
        <v>4</v>
      </c>
      <c r="G20" s="39" t="s">
        <v>4</v>
      </c>
      <c r="H20" s="39" t="s">
        <v>4</v>
      </c>
      <c r="I20" s="39" t="s">
        <v>4</v>
      </c>
      <c r="J20" s="1">
        <f>SUM(J21:J21)</f>
        <v>0</v>
      </c>
      <c r="K20" s="1">
        <f>SUM(K21:K21)</f>
        <v>0</v>
      </c>
      <c r="L20" s="1">
        <f>SUM(L21:L21)</f>
        <v>0</v>
      </c>
      <c r="M20" s="1">
        <f>SUM(M21:M21)</f>
        <v>0</v>
      </c>
      <c r="N20" s="13" t="s">
        <v>56</v>
      </c>
      <c r="O20" s="1">
        <f>SUM(O21:O21)</f>
        <v>0</v>
      </c>
      <c r="P20" s="40" t="s">
        <v>56</v>
      </c>
      <c r="AI20" s="13" t="s">
        <v>56</v>
      </c>
      <c r="AS20" s="1">
        <f>SUM(AJ21:AJ21)</f>
        <v>0</v>
      </c>
      <c r="AT20" s="1">
        <f>SUM(AK21:AK21)</f>
        <v>0</v>
      </c>
      <c r="AU20" s="1">
        <f>SUM(AL21:AL21)</f>
        <v>0</v>
      </c>
    </row>
    <row r="21" spans="1:76" ht="14.4" x14ac:dyDescent="0.3">
      <c r="A21" s="2" t="s">
        <v>85</v>
      </c>
      <c r="B21" s="3" t="s">
        <v>56</v>
      </c>
      <c r="C21" s="3" t="s">
        <v>86</v>
      </c>
      <c r="D21" s="106" t="s">
        <v>87</v>
      </c>
      <c r="E21" s="101"/>
      <c r="F21" s="3" t="s">
        <v>88</v>
      </c>
      <c r="G21" s="33">
        <v>221</v>
      </c>
      <c r="H21" s="95"/>
      <c r="I21" s="34" t="s">
        <v>63</v>
      </c>
      <c r="J21" s="33">
        <f>G21*AO21</f>
        <v>0</v>
      </c>
      <c r="K21" s="33">
        <f>G21*AP21</f>
        <v>0</v>
      </c>
      <c r="L21" s="33">
        <f>G21*H21</f>
        <v>0</v>
      </c>
      <c r="M21" s="33">
        <f>L21*(1+BW21/100)</f>
        <v>0</v>
      </c>
      <c r="N21" s="33">
        <v>0</v>
      </c>
      <c r="O21" s="33">
        <f>G21*N21</f>
        <v>0</v>
      </c>
      <c r="P21" s="35" t="s">
        <v>81</v>
      </c>
      <c r="Z21" s="33">
        <f>IF(AQ21="5",BJ21,0)</f>
        <v>0</v>
      </c>
      <c r="AB21" s="33">
        <f>IF(AQ21="1",BH21,0)</f>
        <v>0</v>
      </c>
      <c r="AC21" s="33">
        <f>IF(AQ21="1",BI21,0)</f>
        <v>0</v>
      </c>
      <c r="AD21" s="33">
        <f>IF(AQ21="7",BH21,0)</f>
        <v>0</v>
      </c>
      <c r="AE21" s="33">
        <f>IF(AQ21="7",BI21,0)</f>
        <v>0</v>
      </c>
      <c r="AF21" s="33">
        <f>IF(AQ21="2",BH21,0)</f>
        <v>0</v>
      </c>
      <c r="AG21" s="33">
        <f>IF(AQ21="2",BI21,0)</f>
        <v>0</v>
      </c>
      <c r="AH21" s="33">
        <f>IF(AQ21="0",BJ21,0)</f>
        <v>0</v>
      </c>
      <c r="AI21" s="13" t="s">
        <v>56</v>
      </c>
      <c r="AJ21" s="33">
        <f>IF(AN21=0,L21,0)</f>
        <v>0</v>
      </c>
      <c r="AK21" s="33">
        <f>IF(AN21=12,L21,0)</f>
        <v>0</v>
      </c>
      <c r="AL21" s="33">
        <f>IF(AN21=21,L21,0)</f>
        <v>0</v>
      </c>
      <c r="AN21" s="33">
        <v>21</v>
      </c>
      <c r="AO21" s="33">
        <f>H21*0</f>
        <v>0</v>
      </c>
      <c r="AP21" s="33">
        <f>H21*(1-0)</f>
        <v>0</v>
      </c>
      <c r="AQ21" s="34" t="s">
        <v>59</v>
      </c>
      <c r="AV21" s="33">
        <f>AW21+AX21</f>
        <v>0</v>
      </c>
      <c r="AW21" s="33">
        <f>G21*AO21</f>
        <v>0</v>
      </c>
      <c r="AX21" s="33">
        <f>G21*AP21</f>
        <v>0</v>
      </c>
      <c r="AY21" s="34" t="s">
        <v>89</v>
      </c>
      <c r="AZ21" s="34" t="s">
        <v>82</v>
      </c>
      <c r="BA21" s="13" t="s">
        <v>66</v>
      </c>
      <c r="BC21" s="33">
        <f>AW21+AX21</f>
        <v>0</v>
      </c>
      <c r="BD21" s="33">
        <f>H21/(100-BE21)*100</f>
        <v>0</v>
      </c>
      <c r="BE21" s="33">
        <v>0</v>
      </c>
      <c r="BF21" s="33">
        <f>O21</f>
        <v>0</v>
      </c>
      <c r="BH21" s="33">
        <f>G21*AO21</f>
        <v>0</v>
      </c>
      <c r="BI21" s="33">
        <f>G21*AP21</f>
        <v>0</v>
      </c>
      <c r="BJ21" s="33">
        <f>G21*H21</f>
        <v>0</v>
      </c>
      <c r="BK21" s="33"/>
      <c r="BL21" s="33">
        <v>11</v>
      </c>
      <c r="BW21" s="33" t="str">
        <f>I21</f>
        <v>21</v>
      </c>
      <c r="BX21" s="5" t="s">
        <v>87</v>
      </c>
    </row>
    <row r="22" spans="1:76" ht="14.4" x14ac:dyDescent="0.3">
      <c r="A22" s="36" t="s">
        <v>56</v>
      </c>
      <c r="B22" s="37" t="s">
        <v>56</v>
      </c>
      <c r="C22" s="37" t="s">
        <v>90</v>
      </c>
      <c r="D22" s="125" t="s">
        <v>91</v>
      </c>
      <c r="E22" s="126"/>
      <c r="F22" s="39" t="s">
        <v>4</v>
      </c>
      <c r="G22" s="39" t="s">
        <v>4</v>
      </c>
      <c r="H22" s="39" t="s">
        <v>4</v>
      </c>
      <c r="I22" s="39" t="s">
        <v>4</v>
      </c>
      <c r="J22" s="1">
        <f>SUM(J23:J23)</f>
        <v>0</v>
      </c>
      <c r="K22" s="1">
        <f>SUM(K23:K23)</f>
        <v>0</v>
      </c>
      <c r="L22" s="1">
        <f>SUM(L23:L23)</f>
        <v>0</v>
      </c>
      <c r="M22" s="1">
        <f>SUM(M23:M23)</f>
        <v>0</v>
      </c>
      <c r="N22" s="13" t="s">
        <v>56</v>
      </c>
      <c r="O22" s="1">
        <f>SUM(O23:O23)</f>
        <v>0</v>
      </c>
      <c r="P22" s="40" t="s">
        <v>56</v>
      </c>
      <c r="AI22" s="13" t="s">
        <v>56</v>
      </c>
      <c r="AS22" s="1">
        <f>SUM(AJ23:AJ23)</f>
        <v>0</v>
      </c>
      <c r="AT22" s="1">
        <f>SUM(AK23:AK23)</f>
        <v>0</v>
      </c>
      <c r="AU22" s="1">
        <f>SUM(AL23:AL23)</f>
        <v>0</v>
      </c>
    </row>
    <row r="23" spans="1:76" ht="14.4" x14ac:dyDescent="0.3">
      <c r="A23" s="2" t="s">
        <v>92</v>
      </c>
      <c r="B23" s="3" t="s">
        <v>56</v>
      </c>
      <c r="C23" s="3" t="s">
        <v>93</v>
      </c>
      <c r="D23" s="106" t="s">
        <v>94</v>
      </c>
      <c r="E23" s="101"/>
      <c r="F23" s="3" t="s">
        <v>80</v>
      </c>
      <c r="G23" s="33">
        <v>40.799999999999997</v>
      </c>
      <c r="H23" s="95"/>
      <c r="I23" s="34" t="s">
        <v>63</v>
      </c>
      <c r="J23" s="33">
        <f>G23*AO23</f>
        <v>0</v>
      </c>
      <c r="K23" s="33">
        <f>G23*AP23</f>
        <v>0</v>
      </c>
      <c r="L23" s="33">
        <f>G23*H23</f>
        <v>0</v>
      </c>
      <c r="M23" s="33">
        <f>L23*(1+BW23/100)</f>
        <v>0</v>
      </c>
      <c r="N23" s="33">
        <v>0</v>
      </c>
      <c r="O23" s="33">
        <f>G23*N23</f>
        <v>0</v>
      </c>
      <c r="P23" s="35" t="s">
        <v>81</v>
      </c>
      <c r="Z23" s="33">
        <f>IF(AQ23="5",BJ23,0)</f>
        <v>0</v>
      </c>
      <c r="AB23" s="33">
        <f>IF(AQ23="1",BH23,0)</f>
        <v>0</v>
      </c>
      <c r="AC23" s="33">
        <f>IF(AQ23="1",BI23,0)</f>
        <v>0</v>
      </c>
      <c r="AD23" s="33">
        <f>IF(AQ23="7",BH23,0)</f>
        <v>0</v>
      </c>
      <c r="AE23" s="33">
        <f>IF(AQ23="7",BI23,0)</f>
        <v>0</v>
      </c>
      <c r="AF23" s="33">
        <f>IF(AQ23="2",BH23,0)</f>
        <v>0</v>
      </c>
      <c r="AG23" s="33">
        <f>IF(AQ23="2",BI23,0)</f>
        <v>0</v>
      </c>
      <c r="AH23" s="33">
        <f>IF(AQ23="0",BJ23,0)</f>
        <v>0</v>
      </c>
      <c r="AI23" s="13" t="s">
        <v>56</v>
      </c>
      <c r="AJ23" s="33">
        <f>IF(AN23=0,L23,0)</f>
        <v>0</v>
      </c>
      <c r="AK23" s="33">
        <f>IF(AN23=12,L23,0)</f>
        <v>0</v>
      </c>
      <c r="AL23" s="33">
        <f>IF(AN23=21,L23,0)</f>
        <v>0</v>
      </c>
      <c r="AN23" s="33">
        <v>21</v>
      </c>
      <c r="AO23" s="33">
        <f>H23*0</f>
        <v>0</v>
      </c>
      <c r="AP23" s="33">
        <f>H23*(1-0)</f>
        <v>0</v>
      </c>
      <c r="AQ23" s="34" t="s">
        <v>59</v>
      </c>
      <c r="AV23" s="33">
        <f>AW23+AX23</f>
        <v>0</v>
      </c>
      <c r="AW23" s="33">
        <f>G23*AO23</f>
        <v>0</v>
      </c>
      <c r="AX23" s="33">
        <f>G23*AP23</f>
        <v>0</v>
      </c>
      <c r="AY23" s="34" t="s">
        <v>95</v>
      </c>
      <c r="AZ23" s="34" t="s">
        <v>82</v>
      </c>
      <c r="BA23" s="13" t="s">
        <v>66</v>
      </c>
      <c r="BC23" s="33">
        <f>AW23+AX23</f>
        <v>0</v>
      </c>
      <c r="BD23" s="33">
        <f>H23/(100-BE23)*100</f>
        <v>0</v>
      </c>
      <c r="BE23" s="33">
        <v>0</v>
      </c>
      <c r="BF23" s="33">
        <f>O23</f>
        <v>0</v>
      </c>
      <c r="BH23" s="33">
        <f>G23*AO23</f>
        <v>0</v>
      </c>
      <c r="BI23" s="33">
        <f>G23*AP23</f>
        <v>0</v>
      </c>
      <c r="BJ23" s="33">
        <f>G23*H23</f>
        <v>0</v>
      </c>
      <c r="BK23" s="33"/>
      <c r="BL23" s="33">
        <v>12</v>
      </c>
      <c r="BW23" s="33" t="str">
        <f>I23</f>
        <v>21</v>
      </c>
      <c r="BX23" s="5" t="s">
        <v>94</v>
      </c>
    </row>
    <row r="24" spans="1:76" ht="14.4" x14ac:dyDescent="0.3">
      <c r="A24" s="36" t="s">
        <v>56</v>
      </c>
      <c r="B24" s="37" t="s">
        <v>56</v>
      </c>
      <c r="C24" s="37" t="s">
        <v>96</v>
      </c>
      <c r="D24" s="125" t="s">
        <v>97</v>
      </c>
      <c r="E24" s="126"/>
      <c r="F24" s="39" t="s">
        <v>4</v>
      </c>
      <c r="G24" s="39" t="s">
        <v>4</v>
      </c>
      <c r="H24" s="39" t="s">
        <v>4</v>
      </c>
      <c r="I24" s="39" t="s">
        <v>4</v>
      </c>
      <c r="J24" s="1">
        <f>SUM(J25:J26)</f>
        <v>0</v>
      </c>
      <c r="K24" s="1">
        <f>SUM(K25:K26)</f>
        <v>0</v>
      </c>
      <c r="L24" s="1">
        <f>SUM(L25:L26)</f>
        <v>0</v>
      </c>
      <c r="M24" s="1">
        <f>SUM(M25:M26)</f>
        <v>0</v>
      </c>
      <c r="N24" s="13" t="s">
        <v>56</v>
      </c>
      <c r="O24" s="1">
        <f>SUM(O25:O26)</f>
        <v>0</v>
      </c>
      <c r="P24" s="40" t="s">
        <v>56</v>
      </c>
      <c r="AI24" s="13" t="s">
        <v>56</v>
      </c>
      <c r="AS24" s="1">
        <f>SUM(AJ25:AJ26)</f>
        <v>0</v>
      </c>
      <c r="AT24" s="1">
        <f>SUM(AK25:AK26)</f>
        <v>0</v>
      </c>
      <c r="AU24" s="1">
        <f>SUM(AL25:AL26)</f>
        <v>0</v>
      </c>
    </row>
    <row r="25" spans="1:76" ht="14.4" x14ac:dyDescent="0.3">
      <c r="A25" s="2" t="s">
        <v>98</v>
      </c>
      <c r="B25" s="3" t="s">
        <v>56</v>
      </c>
      <c r="C25" s="3" t="s">
        <v>99</v>
      </c>
      <c r="D25" s="106" t="s">
        <v>100</v>
      </c>
      <c r="E25" s="101"/>
      <c r="F25" s="3" t="s">
        <v>80</v>
      </c>
      <c r="G25" s="33">
        <v>9.2896000000000001</v>
      </c>
      <c r="H25" s="95"/>
      <c r="I25" s="34" t="s">
        <v>63</v>
      </c>
      <c r="J25" s="33">
        <f>G25*AO25</f>
        <v>0</v>
      </c>
      <c r="K25" s="33">
        <f>G25*AP25</f>
        <v>0</v>
      </c>
      <c r="L25" s="33">
        <f>G25*H25</f>
        <v>0</v>
      </c>
      <c r="M25" s="33">
        <f>L25*(1+BW25/100)</f>
        <v>0</v>
      </c>
      <c r="N25" s="33">
        <v>0</v>
      </c>
      <c r="O25" s="33">
        <f>G25*N25</f>
        <v>0</v>
      </c>
      <c r="P25" s="35" t="s">
        <v>81</v>
      </c>
      <c r="Z25" s="33">
        <f>IF(AQ25="5",BJ25,0)</f>
        <v>0</v>
      </c>
      <c r="AB25" s="33">
        <f>IF(AQ25="1",BH25,0)</f>
        <v>0</v>
      </c>
      <c r="AC25" s="33">
        <f>IF(AQ25="1",BI25,0)</f>
        <v>0</v>
      </c>
      <c r="AD25" s="33">
        <f>IF(AQ25="7",BH25,0)</f>
        <v>0</v>
      </c>
      <c r="AE25" s="33">
        <f>IF(AQ25="7",BI25,0)</f>
        <v>0</v>
      </c>
      <c r="AF25" s="33">
        <f>IF(AQ25="2",BH25,0)</f>
        <v>0</v>
      </c>
      <c r="AG25" s="33">
        <f>IF(AQ25="2",BI25,0)</f>
        <v>0</v>
      </c>
      <c r="AH25" s="33">
        <f>IF(AQ25="0",BJ25,0)</f>
        <v>0</v>
      </c>
      <c r="AI25" s="13" t="s">
        <v>56</v>
      </c>
      <c r="AJ25" s="33">
        <f>IF(AN25=0,L25,0)</f>
        <v>0</v>
      </c>
      <c r="AK25" s="33">
        <f>IF(AN25=12,L25,0)</f>
        <v>0</v>
      </c>
      <c r="AL25" s="33">
        <f>IF(AN25=21,L25,0)</f>
        <v>0</v>
      </c>
      <c r="AN25" s="33">
        <v>21</v>
      </c>
      <c r="AO25" s="33">
        <f>H25*0</f>
        <v>0</v>
      </c>
      <c r="AP25" s="33">
        <f>H25*(1-0)</f>
        <v>0</v>
      </c>
      <c r="AQ25" s="34" t="s">
        <v>59</v>
      </c>
      <c r="AV25" s="33">
        <f>AW25+AX25</f>
        <v>0</v>
      </c>
      <c r="AW25" s="33">
        <f>G25*AO25</f>
        <v>0</v>
      </c>
      <c r="AX25" s="33">
        <f>G25*AP25</f>
        <v>0</v>
      </c>
      <c r="AY25" s="34" t="s">
        <v>101</v>
      </c>
      <c r="AZ25" s="34" t="s">
        <v>82</v>
      </c>
      <c r="BA25" s="13" t="s">
        <v>66</v>
      </c>
      <c r="BC25" s="33">
        <f>AW25+AX25</f>
        <v>0</v>
      </c>
      <c r="BD25" s="33">
        <f>H25/(100-BE25)*100</f>
        <v>0</v>
      </c>
      <c r="BE25" s="33">
        <v>0</v>
      </c>
      <c r="BF25" s="33">
        <f>O25</f>
        <v>0</v>
      </c>
      <c r="BH25" s="33">
        <f>G25*AO25</f>
        <v>0</v>
      </c>
      <c r="BI25" s="33">
        <f>G25*AP25</f>
        <v>0</v>
      </c>
      <c r="BJ25" s="33">
        <f>G25*H25</f>
        <v>0</v>
      </c>
      <c r="BK25" s="33"/>
      <c r="BL25" s="33">
        <v>13</v>
      </c>
      <c r="BW25" s="33" t="str">
        <f>I25</f>
        <v>21</v>
      </c>
      <c r="BX25" s="5" t="s">
        <v>100</v>
      </c>
    </row>
    <row r="26" spans="1:76" ht="14.4" x14ac:dyDescent="0.3">
      <c r="A26" s="2" t="s">
        <v>102</v>
      </c>
      <c r="B26" s="3" t="s">
        <v>56</v>
      </c>
      <c r="C26" s="3" t="s">
        <v>103</v>
      </c>
      <c r="D26" s="106" t="s">
        <v>104</v>
      </c>
      <c r="E26" s="101"/>
      <c r="F26" s="3" t="s">
        <v>80</v>
      </c>
      <c r="G26" s="33">
        <v>30</v>
      </c>
      <c r="H26" s="95"/>
      <c r="I26" s="34" t="s">
        <v>63</v>
      </c>
      <c r="J26" s="33">
        <f>G26*AO26</f>
        <v>0</v>
      </c>
      <c r="K26" s="33">
        <f>G26*AP26</f>
        <v>0</v>
      </c>
      <c r="L26" s="33">
        <f>G26*H26</f>
        <v>0</v>
      </c>
      <c r="M26" s="33">
        <f>L26*(1+BW26/100)</f>
        <v>0</v>
      </c>
      <c r="N26" s="33">
        <v>0</v>
      </c>
      <c r="O26" s="33">
        <f>G26*N26</f>
        <v>0</v>
      </c>
      <c r="P26" s="35" t="s">
        <v>81</v>
      </c>
      <c r="Z26" s="33">
        <f>IF(AQ26="5",BJ26,0)</f>
        <v>0</v>
      </c>
      <c r="AB26" s="33">
        <f>IF(AQ26="1",BH26,0)</f>
        <v>0</v>
      </c>
      <c r="AC26" s="33">
        <f>IF(AQ26="1",BI26,0)</f>
        <v>0</v>
      </c>
      <c r="AD26" s="33">
        <f>IF(AQ26="7",BH26,0)</f>
        <v>0</v>
      </c>
      <c r="AE26" s="33">
        <f>IF(AQ26="7",BI26,0)</f>
        <v>0</v>
      </c>
      <c r="AF26" s="33">
        <f>IF(AQ26="2",BH26,0)</f>
        <v>0</v>
      </c>
      <c r="AG26" s="33">
        <f>IF(AQ26="2",BI26,0)</f>
        <v>0</v>
      </c>
      <c r="AH26" s="33">
        <f>IF(AQ26="0",BJ26,0)</f>
        <v>0</v>
      </c>
      <c r="AI26" s="13" t="s">
        <v>56</v>
      </c>
      <c r="AJ26" s="33">
        <f>IF(AN26=0,L26,0)</f>
        <v>0</v>
      </c>
      <c r="AK26" s="33">
        <f>IF(AN26=12,L26,0)</f>
        <v>0</v>
      </c>
      <c r="AL26" s="33">
        <f>IF(AN26=21,L26,0)</f>
        <v>0</v>
      </c>
      <c r="AN26" s="33">
        <v>21</v>
      </c>
      <c r="AO26" s="33">
        <f>H26*0</f>
        <v>0</v>
      </c>
      <c r="AP26" s="33">
        <f>H26*(1-0)</f>
        <v>0</v>
      </c>
      <c r="AQ26" s="34" t="s">
        <v>59</v>
      </c>
      <c r="AV26" s="33">
        <f>AW26+AX26</f>
        <v>0</v>
      </c>
      <c r="AW26" s="33">
        <f>G26*AO26</f>
        <v>0</v>
      </c>
      <c r="AX26" s="33">
        <f>G26*AP26</f>
        <v>0</v>
      </c>
      <c r="AY26" s="34" t="s">
        <v>101</v>
      </c>
      <c r="AZ26" s="34" t="s">
        <v>82</v>
      </c>
      <c r="BA26" s="13" t="s">
        <v>66</v>
      </c>
      <c r="BC26" s="33">
        <f>AW26+AX26</f>
        <v>0</v>
      </c>
      <c r="BD26" s="33">
        <f>H26/(100-BE26)*100</f>
        <v>0</v>
      </c>
      <c r="BE26" s="33">
        <v>0</v>
      </c>
      <c r="BF26" s="33">
        <f>O26</f>
        <v>0</v>
      </c>
      <c r="BH26" s="33">
        <f>G26*AO26</f>
        <v>0</v>
      </c>
      <c r="BI26" s="33">
        <f>G26*AP26</f>
        <v>0</v>
      </c>
      <c r="BJ26" s="33">
        <f>G26*H26</f>
        <v>0</v>
      </c>
      <c r="BK26" s="33"/>
      <c r="BL26" s="33">
        <v>13</v>
      </c>
      <c r="BW26" s="33" t="str">
        <f>I26</f>
        <v>21</v>
      </c>
      <c r="BX26" s="5" t="s">
        <v>104</v>
      </c>
    </row>
    <row r="27" spans="1:76" ht="14.4" x14ac:dyDescent="0.3">
      <c r="A27" s="36" t="s">
        <v>56</v>
      </c>
      <c r="B27" s="37" t="s">
        <v>56</v>
      </c>
      <c r="C27" s="37" t="s">
        <v>105</v>
      </c>
      <c r="D27" s="125" t="s">
        <v>106</v>
      </c>
      <c r="E27" s="126"/>
      <c r="F27" s="39" t="s">
        <v>4</v>
      </c>
      <c r="G27" s="39" t="s">
        <v>4</v>
      </c>
      <c r="H27" s="39" t="s">
        <v>4</v>
      </c>
      <c r="I27" s="39" t="s">
        <v>4</v>
      </c>
      <c r="J27" s="1">
        <f>SUM(J28:J28)</f>
        <v>0</v>
      </c>
      <c r="K27" s="1">
        <f>SUM(K28:K28)</f>
        <v>0</v>
      </c>
      <c r="L27" s="1">
        <f>SUM(L28:L28)</f>
        <v>0</v>
      </c>
      <c r="M27" s="1">
        <f>SUM(M28:M28)</f>
        <v>0</v>
      </c>
      <c r="N27" s="13" t="s">
        <v>56</v>
      </c>
      <c r="O27" s="1">
        <f>SUM(O28:O28)</f>
        <v>0</v>
      </c>
      <c r="P27" s="40" t="s">
        <v>56</v>
      </c>
      <c r="AI27" s="13" t="s">
        <v>56</v>
      </c>
      <c r="AS27" s="1">
        <f>SUM(AJ28:AJ28)</f>
        <v>0</v>
      </c>
      <c r="AT27" s="1">
        <f>SUM(AK28:AK28)</f>
        <v>0</v>
      </c>
      <c r="AU27" s="1">
        <f>SUM(AL28:AL28)</f>
        <v>0</v>
      </c>
    </row>
    <row r="28" spans="1:76" ht="14.4" x14ac:dyDescent="0.3">
      <c r="A28" s="2" t="s">
        <v>83</v>
      </c>
      <c r="B28" s="3" t="s">
        <v>56</v>
      </c>
      <c r="C28" s="3" t="s">
        <v>107</v>
      </c>
      <c r="D28" s="106" t="s">
        <v>108</v>
      </c>
      <c r="E28" s="101"/>
      <c r="F28" s="3" t="s">
        <v>80</v>
      </c>
      <c r="G28" s="33">
        <v>2.4516</v>
      </c>
      <c r="H28" s="95"/>
      <c r="I28" s="34" t="s">
        <v>63</v>
      </c>
      <c r="J28" s="33">
        <f>G28*AO28</f>
        <v>0</v>
      </c>
      <c r="K28" s="33">
        <f>G28*AP28</f>
        <v>0</v>
      </c>
      <c r="L28" s="33">
        <f>G28*H28</f>
        <v>0</v>
      </c>
      <c r="M28" s="33">
        <f>L28*(1+BW28/100)</f>
        <v>0</v>
      </c>
      <c r="N28" s="33">
        <v>0</v>
      </c>
      <c r="O28" s="33">
        <f>G28*N28</f>
        <v>0</v>
      </c>
      <c r="P28" s="35" t="s">
        <v>81</v>
      </c>
      <c r="Z28" s="33">
        <f>IF(AQ28="5",BJ28,0)</f>
        <v>0</v>
      </c>
      <c r="AB28" s="33">
        <f>IF(AQ28="1",BH28,0)</f>
        <v>0</v>
      </c>
      <c r="AC28" s="33">
        <f>IF(AQ28="1",BI28,0)</f>
        <v>0</v>
      </c>
      <c r="AD28" s="33">
        <f>IF(AQ28="7",BH28,0)</f>
        <v>0</v>
      </c>
      <c r="AE28" s="33">
        <f>IF(AQ28="7",BI28,0)</f>
        <v>0</v>
      </c>
      <c r="AF28" s="33">
        <f>IF(AQ28="2",BH28,0)</f>
        <v>0</v>
      </c>
      <c r="AG28" s="33">
        <f>IF(AQ28="2",BI28,0)</f>
        <v>0</v>
      </c>
      <c r="AH28" s="33">
        <f>IF(AQ28="0",BJ28,0)</f>
        <v>0</v>
      </c>
      <c r="AI28" s="13" t="s">
        <v>56</v>
      </c>
      <c r="AJ28" s="33">
        <f>IF(AN28=0,L28,0)</f>
        <v>0</v>
      </c>
      <c r="AK28" s="33">
        <f>IF(AN28=12,L28,0)</f>
        <v>0</v>
      </c>
      <c r="AL28" s="33">
        <f>IF(AN28=21,L28,0)</f>
        <v>0</v>
      </c>
      <c r="AN28" s="33">
        <v>21</v>
      </c>
      <c r="AO28" s="33">
        <f>H28*0</f>
        <v>0</v>
      </c>
      <c r="AP28" s="33">
        <f>H28*(1-0)</f>
        <v>0</v>
      </c>
      <c r="AQ28" s="34" t="s">
        <v>59</v>
      </c>
      <c r="AV28" s="33">
        <f>AW28+AX28</f>
        <v>0</v>
      </c>
      <c r="AW28" s="33">
        <f>G28*AO28</f>
        <v>0</v>
      </c>
      <c r="AX28" s="33">
        <f>G28*AP28</f>
        <v>0</v>
      </c>
      <c r="AY28" s="34" t="s">
        <v>109</v>
      </c>
      <c r="AZ28" s="34" t="s">
        <v>82</v>
      </c>
      <c r="BA28" s="13" t="s">
        <v>66</v>
      </c>
      <c r="BC28" s="33">
        <f>AW28+AX28</f>
        <v>0</v>
      </c>
      <c r="BD28" s="33">
        <f>H28/(100-BE28)*100</f>
        <v>0</v>
      </c>
      <c r="BE28" s="33">
        <v>0</v>
      </c>
      <c r="BF28" s="33">
        <f>O28</f>
        <v>0</v>
      </c>
      <c r="BH28" s="33">
        <f>G28*AO28</f>
        <v>0</v>
      </c>
      <c r="BI28" s="33">
        <f>G28*AP28</f>
        <v>0</v>
      </c>
      <c r="BJ28" s="33">
        <f>G28*H28</f>
        <v>0</v>
      </c>
      <c r="BK28" s="33"/>
      <c r="BL28" s="33">
        <v>17</v>
      </c>
      <c r="BW28" s="33" t="str">
        <f>I28</f>
        <v>21</v>
      </c>
      <c r="BX28" s="5" t="s">
        <v>108</v>
      </c>
    </row>
    <row r="29" spans="1:76" ht="14.4" x14ac:dyDescent="0.3">
      <c r="A29" s="36" t="s">
        <v>56</v>
      </c>
      <c r="B29" s="37" t="s">
        <v>56</v>
      </c>
      <c r="C29" s="37" t="s">
        <v>110</v>
      </c>
      <c r="D29" s="125" t="s">
        <v>111</v>
      </c>
      <c r="E29" s="126"/>
      <c r="F29" s="39" t="s">
        <v>4</v>
      </c>
      <c r="G29" s="39" t="s">
        <v>4</v>
      </c>
      <c r="H29" s="39" t="s">
        <v>4</v>
      </c>
      <c r="I29" s="39" t="s">
        <v>4</v>
      </c>
      <c r="J29" s="1">
        <f>SUM(J30:J30)</f>
        <v>0</v>
      </c>
      <c r="K29" s="1">
        <f>SUM(K30:K30)</f>
        <v>0</v>
      </c>
      <c r="L29" s="1">
        <f>SUM(L30:L30)</f>
        <v>0</v>
      </c>
      <c r="M29" s="1">
        <f>SUM(M30:M30)</f>
        <v>0</v>
      </c>
      <c r="N29" s="13" t="s">
        <v>56</v>
      </c>
      <c r="O29" s="1">
        <f>SUM(O30:O30)</f>
        <v>0</v>
      </c>
      <c r="P29" s="40" t="s">
        <v>56</v>
      </c>
      <c r="AI29" s="13" t="s">
        <v>56</v>
      </c>
      <c r="AS29" s="1">
        <f>SUM(AJ30:AJ30)</f>
        <v>0</v>
      </c>
      <c r="AT29" s="1">
        <f>SUM(AK30:AK30)</f>
        <v>0</v>
      </c>
      <c r="AU29" s="1">
        <f>SUM(AL30:AL30)</f>
        <v>0</v>
      </c>
    </row>
    <row r="30" spans="1:76" ht="14.4" x14ac:dyDescent="0.3">
      <c r="A30" s="2" t="s">
        <v>90</v>
      </c>
      <c r="B30" s="3" t="s">
        <v>56</v>
      </c>
      <c r="C30" s="3" t="s">
        <v>112</v>
      </c>
      <c r="D30" s="106" t="s">
        <v>113</v>
      </c>
      <c r="E30" s="101"/>
      <c r="F30" s="3" t="s">
        <v>88</v>
      </c>
      <c r="G30" s="33">
        <v>221</v>
      </c>
      <c r="H30" s="95"/>
      <c r="I30" s="34" t="s">
        <v>63</v>
      </c>
      <c r="J30" s="33">
        <f>G30*AO30</f>
        <v>0</v>
      </c>
      <c r="K30" s="33">
        <f>G30*AP30</f>
        <v>0</v>
      </c>
      <c r="L30" s="33">
        <f>G30*H30</f>
        <v>0</v>
      </c>
      <c r="M30" s="33">
        <f>L30*(1+BW30/100)</f>
        <v>0</v>
      </c>
      <c r="N30" s="33">
        <v>0</v>
      </c>
      <c r="O30" s="33">
        <f>G30*N30</f>
        <v>0</v>
      </c>
      <c r="P30" s="35" t="s">
        <v>81</v>
      </c>
      <c r="Z30" s="33">
        <f>IF(AQ30="5",BJ30,0)</f>
        <v>0</v>
      </c>
      <c r="AB30" s="33">
        <f>IF(AQ30="1",BH30,0)</f>
        <v>0</v>
      </c>
      <c r="AC30" s="33">
        <f>IF(AQ30="1",BI30,0)</f>
        <v>0</v>
      </c>
      <c r="AD30" s="33">
        <f>IF(AQ30="7",BH30,0)</f>
        <v>0</v>
      </c>
      <c r="AE30" s="33">
        <f>IF(AQ30="7",BI30,0)</f>
        <v>0</v>
      </c>
      <c r="AF30" s="33">
        <f>IF(AQ30="2",BH30,0)</f>
        <v>0</v>
      </c>
      <c r="AG30" s="33">
        <f>IF(AQ30="2",BI30,0)</f>
        <v>0</v>
      </c>
      <c r="AH30" s="33">
        <f>IF(AQ30="0",BJ30,0)</f>
        <v>0</v>
      </c>
      <c r="AI30" s="13" t="s">
        <v>56</v>
      </c>
      <c r="AJ30" s="33">
        <f>IF(AN30=0,L30,0)</f>
        <v>0</v>
      </c>
      <c r="AK30" s="33">
        <f>IF(AN30=12,L30,0)</f>
        <v>0</v>
      </c>
      <c r="AL30" s="33">
        <f>IF(AN30=21,L30,0)</f>
        <v>0</v>
      </c>
      <c r="AN30" s="33">
        <v>21</v>
      </c>
      <c r="AO30" s="33">
        <f>H30*0</f>
        <v>0</v>
      </c>
      <c r="AP30" s="33">
        <f>H30*(1-0)</f>
        <v>0</v>
      </c>
      <c r="AQ30" s="34" t="s">
        <v>59</v>
      </c>
      <c r="AV30" s="33">
        <f>AW30+AX30</f>
        <v>0</v>
      </c>
      <c r="AW30" s="33">
        <f>G30*AO30</f>
        <v>0</v>
      </c>
      <c r="AX30" s="33">
        <f>G30*AP30</f>
        <v>0</v>
      </c>
      <c r="AY30" s="34" t="s">
        <v>114</v>
      </c>
      <c r="AZ30" s="34" t="s">
        <v>82</v>
      </c>
      <c r="BA30" s="13" t="s">
        <v>66</v>
      </c>
      <c r="BC30" s="33">
        <f>AW30+AX30</f>
        <v>0</v>
      </c>
      <c r="BD30" s="33">
        <f>H30/(100-BE30)*100</f>
        <v>0</v>
      </c>
      <c r="BE30" s="33">
        <v>0</v>
      </c>
      <c r="BF30" s="33">
        <f>O30</f>
        <v>0</v>
      </c>
      <c r="BH30" s="33">
        <f>G30*AO30</f>
        <v>0</v>
      </c>
      <c r="BI30" s="33">
        <f>G30*AP30</f>
        <v>0</v>
      </c>
      <c r="BJ30" s="33">
        <f>G30*H30</f>
        <v>0</v>
      </c>
      <c r="BK30" s="33"/>
      <c r="BL30" s="33">
        <v>18</v>
      </c>
      <c r="BW30" s="33" t="str">
        <f>I30</f>
        <v>21</v>
      </c>
      <c r="BX30" s="5" t="s">
        <v>113</v>
      </c>
    </row>
    <row r="31" spans="1:76" ht="14.4" x14ac:dyDescent="0.3">
      <c r="A31" s="36" t="s">
        <v>56</v>
      </c>
      <c r="B31" s="37" t="s">
        <v>56</v>
      </c>
      <c r="C31" s="37" t="s">
        <v>115</v>
      </c>
      <c r="D31" s="125" t="s">
        <v>116</v>
      </c>
      <c r="E31" s="126"/>
      <c r="F31" s="39" t="s">
        <v>4</v>
      </c>
      <c r="G31" s="39" t="s">
        <v>4</v>
      </c>
      <c r="H31" s="39" t="s">
        <v>4</v>
      </c>
      <c r="I31" s="39" t="s">
        <v>4</v>
      </c>
      <c r="J31" s="1">
        <f>SUM(J32:J33)</f>
        <v>0</v>
      </c>
      <c r="K31" s="1">
        <f>SUM(K32:K33)</f>
        <v>0</v>
      </c>
      <c r="L31" s="1">
        <f>SUM(L32:L33)</f>
        <v>0</v>
      </c>
      <c r="M31" s="1">
        <f>SUM(M32:M33)</f>
        <v>0</v>
      </c>
      <c r="N31" s="13" t="s">
        <v>56</v>
      </c>
      <c r="O31" s="1">
        <f>SUM(O32:O33)</f>
        <v>3.6596174229999994</v>
      </c>
      <c r="P31" s="40" t="s">
        <v>56</v>
      </c>
      <c r="AI31" s="13" t="s">
        <v>56</v>
      </c>
      <c r="AS31" s="1">
        <f>SUM(AJ32:AJ33)</f>
        <v>0</v>
      </c>
      <c r="AT31" s="1">
        <f>SUM(AK32:AK33)</f>
        <v>0</v>
      </c>
      <c r="AU31" s="1">
        <f>SUM(AL32:AL33)</f>
        <v>0</v>
      </c>
    </row>
    <row r="32" spans="1:76" ht="14.4" x14ac:dyDescent="0.3">
      <c r="A32" s="2" t="s">
        <v>96</v>
      </c>
      <c r="B32" s="3" t="s">
        <v>56</v>
      </c>
      <c r="C32" s="3" t="s">
        <v>117</v>
      </c>
      <c r="D32" s="106" t="s">
        <v>118</v>
      </c>
      <c r="E32" s="101"/>
      <c r="F32" s="3" t="s">
        <v>119</v>
      </c>
      <c r="G32" s="33">
        <v>1.1662999999999999</v>
      </c>
      <c r="H32" s="95"/>
      <c r="I32" s="34" t="s">
        <v>63</v>
      </c>
      <c r="J32" s="33">
        <f>G32*AO32</f>
        <v>0</v>
      </c>
      <c r="K32" s="33">
        <f>G32*AP32</f>
        <v>0</v>
      </c>
      <c r="L32" s="33">
        <f>G32*H32</f>
        <v>0</v>
      </c>
      <c r="M32" s="33">
        <f>L32*(1+BW32/100)</f>
        <v>0</v>
      </c>
      <c r="N32" s="33">
        <v>1.07521</v>
      </c>
      <c r="O32" s="33">
        <f>G32*N32</f>
        <v>1.2540174229999999</v>
      </c>
      <c r="P32" s="35" t="s">
        <v>81</v>
      </c>
      <c r="Z32" s="33">
        <f>IF(AQ32="5",BJ32,0)</f>
        <v>0</v>
      </c>
      <c r="AB32" s="33">
        <f>IF(AQ32="1",BH32,0)</f>
        <v>0</v>
      </c>
      <c r="AC32" s="33">
        <f>IF(AQ32="1",BI32,0)</f>
        <v>0</v>
      </c>
      <c r="AD32" s="33">
        <f>IF(AQ32="7",BH32,0)</f>
        <v>0</v>
      </c>
      <c r="AE32" s="33">
        <f>IF(AQ32="7",BI32,0)</f>
        <v>0</v>
      </c>
      <c r="AF32" s="33">
        <f>IF(AQ32="2",BH32,0)</f>
        <v>0</v>
      </c>
      <c r="AG32" s="33">
        <f>IF(AQ32="2",BI32,0)</f>
        <v>0</v>
      </c>
      <c r="AH32" s="33">
        <f>IF(AQ32="0",BJ32,0)</f>
        <v>0</v>
      </c>
      <c r="AI32" s="13" t="s">
        <v>56</v>
      </c>
      <c r="AJ32" s="33">
        <f>IF(AN32=0,L32,0)</f>
        <v>0</v>
      </c>
      <c r="AK32" s="33">
        <f>IF(AN32=12,L32,0)</f>
        <v>0</v>
      </c>
      <c r="AL32" s="33">
        <f>IF(AN32=21,L32,0)</f>
        <v>0</v>
      </c>
      <c r="AN32" s="33">
        <v>21</v>
      </c>
      <c r="AO32" s="33">
        <f>H32*0.699158068</f>
        <v>0</v>
      </c>
      <c r="AP32" s="33">
        <f>H32*(1-0.699158068)</f>
        <v>0</v>
      </c>
      <c r="AQ32" s="34" t="s">
        <v>59</v>
      </c>
      <c r="AV32" s="33">
        <f>AW32+AX32</f>
        <v>0</v>
      </c>
      <c r="AW32" s="33">
        <f>G32*AO32</f>
        <v>0</v>
      </c>
      <c r="AX32" s="33">
        <f>G32*AP32</f>
        <v>0</v>
      </c>
      <c r="AY32" s="34" t="s">
        <v>120</v>
      </c>
      <c r="AZ32" s="34" t="s">
        <v>121</v>
      </c>
      <c r="BA32" s="13" t="s">
        <v>66</v>
      </c>
      <c r="BC32" s="33">
        <f>AW32+AX32</f>
        <v>0</v>
      </c>
      <c r="BD32" s="33">
        <f>H32/(100-BE32)*100</f>
        <v>0</v>
      </c>
      <c r="BE32" s="33">
        <v>0</v>
      </c>
      <c r="BF32" s="33">
        <f>O32</f>
        <v>1.2540174229999999</v>
      </c>
      <c r="BH32" s="33">
        <f>G32*AO32</f>
        <v>0</v>
      </c>
      <c r="BI32" s="33">
        <f>G32*AP32</f>
        <v>0</v>
      </c>
      <c r="BJ32" s="33">
        <f>G32*H32</f>
        <v>0</v>
      </c>
      <c r="BK32" s="33"/>
      <c r="BL32" s="33">
        <v>26</v>
      </c>
      <c r="BW32" s="33" t="str">
        <f>I32</f>
        <v>21</v>
      </c>
      <c r="BX32" s="5" t="s">
        <v>118</v>
      </c>
    </row>
    <row r="33" spans="1:76" ht="14.4" x14ac:dyDescent="0.3">
      <c r="A33" s="2" t="s">
        <v>122</v>
      </c>
      <c r="B33" s="3" t="s">
        <v>56</v>
      </c>
      <c r="C33" s="3" t="s">
        <v>123</v>
      </c>
      <c r="D33" s="106" t="s">
        <v>124</v>
      </c>
      <c r="E33" s="101"/>
      <c r="F33" s="3" t="s">
        <v>125</v>
      </c>
      <c r="G33" s="33">
        <v>40</v>
      </c>
      <c r="H33" s="95"/>
      <c r="I33" s="34" t="s">
        <v>63</v>
      </c>
      <c r="J33" s="33">
        <f>G33*AO33</f>
        <v>0</v>
      </c>
      <c r="K33" s="33">
        <f>G33*AP33</f>
        <v>0</v>
      </c>
      <c r="L33" s="33">
        <f>G33*H33</f>
        <v>0</v>
      </c>
      <c r="M33" s="33">
        <f>L33*(1+BW33/100)</f>
        <v>0</v>
      </c>
      <c r="N33" s="33">
        <v>6.0139999999999999E-2</v>
      </c>
      <c r="O33" s="33">
        <f>G33*N33</f>
        <v>2.4055999999999997</v>
      </c>
      <c r="P33" s="35" t="s">
        <v>81</v>
      </c>
      <c r="Z33" s="33">
        <f>IF(AQ33="5",BJ33,0)</f>
        <v>0</v>
      </c>
      <c r="AB33" s="33">
        <f>IF(AQ33="1",BH33,0)</f>
        <v>0</v>
      </c>
      <c r="AC33" s="33">
        <f>IF(AQ33="1",BI33,0)</f>
        <v>0</v>
      </c>
      <c r="AD33" s="33">
        <f>IF(AQ33="7",BH33,0)</f>
        <v>0</v>
      </c>
      <c r="AE33" s="33">
        <f>IF(AQ33="7",BI33,0)</f>
        <v>0</v>
      </c>
      <c r="AF33" s="33">
        <f>IF(AQ33="2",BH33,0)</f>
        <v>0</v>
      </c>
      <c r="AG33" s="33">
        <f>IF(AQ33="2",BI33,0)</f>
        <v>0</v>
      </c>
      <c r="AH33" s="33">
        <f>IF(AQ33="0",BJ33,0)</f>
        <v>0</v>
      </c>
      <c r="AI33" s="13" t="s">
        <v>56</v>
      </c>
      <c r="AJ33" s="33">
        <f>IF(AN33=0,L33,0)</f>
        <v>0</v>
      </c>
      <c r="AK33" s="33">
        <f>IF(AN33=12,L33,0)</f>
        <v>0</v>
      </c>
      <c r="AL33" s="33">
        <f>IF(AN33=21,L33,0)</f>
        <v>0</v>
      </c>
      <c r="AN33" s="33">
        <v>21</v>
      </c>
      <c r="AO33" s="33">
        <f>H33*0.613567553</f>
        <v>0</v>
      </c>
      <c r="AP33" s="33">
        <f>H33*(1-0.613567553)</f>
        <v>0</v>
      </c>
      <c r="AQ33" s="34" t="s">
        <v>59</v>
      </c>
      <c r="AV33" s="33">
        <f>AW33+AX33</f>
        <v>0</v>
      </c>
      <c r="AW33" s="33">
        <f>G33*AO33</f>
        <v>0</v>
      </c>
      <c r="AX33" s="33">
        <f>G33*AP33</f>
        <v>0</v>
      </c>
      <c r="AY33" s="34" t="s">
        <v>120</v>
      </c>
      <c r="AZ33" s="34" t="s">
        <v>121</v>
      </c>
      <c r="BA33" s="13" t="s">
        <v>66</v>
      </c>
      <c r="BC33" s="33">
        <f>AW33+AX33</f>
        <v>0</v>
      </c>
      <c r="BD33" s="33">
        <f>H33/(100-BE33)*100</f>
        <v>0</v>
      </c>
      <c r="BE33" s="33">
        <v>0</v>
      </c>
      <c r="BF33" s="33">
        <f>O33</f>
        <v>2.4055999999999997</v>
      </c>
      <c r="BH33" s="33">
        <f>G33*AO33</f>
        <v>0</v>
      </c>
      <c r="BI33" s="33">
        <f>G33*AP33</f>
        <v>0</v>
      </c>
      <c r="BJ33" s="33">
        <f>G33*H33</f>
        <v>0</v>
      </c>
      <c r="BK33" s="33"/>
      <c r="BL33" s="33">
        <v>26</v>
      </c>
      <c r="BW33" s="33" t="str">
        <f>I33</f>
        <v>21</v>
      </c>
      <c r="BX33" s="5" t="s">
        <v>124</v>
      </c>
    </row>
    <row r="34" spans="1:76" ht="14.4" x14ac:dyDescent="0.3">
      <c r="A34" s="36" t="s">
        <v>56</v>
      </c>
      <c r="B34" s="37" t="s">
        <v>56</v>
      </c>
      <c r="C34" s="37" t="s">
        <v>126</v>
      </c>
      <c r="D34" s="125" t="s">
        <v>127</v>
      </c>
      <c r="E34" s="126"/>
      <c r="F34" s="39" t="s">
        <v>4</v>
      </c>
      <c r="G34" s="39" t="s">
        <v>4</v>
      </c>
      <c r="H34" s="39" t="s">
        <v>4</v>
      </c>
      <c r="I34" s="39" t="s">
        <v>4</v>
      </c>
      <c r="J34" s="1">
        <f>SUM(J35:J40)</f>
        <v>0</v>
      </c>
      <c r="K34" s="1">
        <f>SUM(K35:K40)</f>
        <v>0</v>
      </c>
      <c r="L34" s="1">
        <f>SUM(L35:L40)</f>
        <v>0</v>
      </c>
      <c r="M34" s="1">
        <f>SUM(M35:M40)</f>
        <v>0</v>
      </c>
      <c r="N34" s="13" t="s">
        <v>56</v>
      </c>
      <c r="O34" s="1">
        <f>SUM(O35:O40)</f>
        <v>69.214243930999999</v>
      </c>
      <c r="P34" s="40" t="s">
        <v>56</v>
      </c>
      <c r="AI34" s="13" t="s">
        <v>56</v>
      </c>
      <c r="AS34" s="1">
        <f>SUM(AJ35:AJ40)</f>
        <v>0</v>
      </c>
      <c r="AT34" s="1">
        <f>SUM(AK35:AK40)</f>
        <v>0</v>
      </c>
      <c r="AU34" s="1">
        <f>SUM(AL35:AL40)</f>
        <v>0</v>
      </c>
    </row>
    <row r="35" spans="1:76" ht="14.4" x14ac:dyDescent="0.3">
      <c r="A35" s="2" t="s">
        <v>128</v>
      </c>
      <c r="B35" s="3" t="s">
        <v>56</v>
      </c>
      <c r="C35" s="3" t="s">
        <v>129</v>
      </c>
      <c r="D35" s="106" t="s">
        <v>130</v>
      </c>
      <c r="E35" s="101"/>
      <c r="F35" s="3" t="s">
        <v>80</v>
      </c>
      <c r="G35" s="33">
        <v>9.2896000000000001</v>
      </c>
      <c r="H35" s="95"/>
      <c r="I35" s="34" t="s">
        <v>63</v>
      </c>
      <c r="J35" s="33">
        <f t="shared" ref="J35:J40" si="0">G35*AO35</f>
        <v>0</v>
      </c>
      <c r="K35" s="33">
        <f t="shared" ref="K35:K40" si="1">G35*AP35</f>
        <v>0</v>
      </c>
      <c r="L35" s="33">
        <f t="shared" ref="L35:L40" si="2">G35*H35</f>
        <v>0</v>
      </c>
      <c r="M35" s="33">
        <f t="shared" ref="M35:M40" si="3">L35*(1+BW35/100)</f>
        <v>0</v>
      </c>
      <c r="N35" s="33">
        <v>2.5249999999999999</v>
      </c>
      <c r="O35" s="33">
        <f t="shared" ref="O35:O40" si="4">G35*N35</f>
        <v>23.456240000000001</v>
      </c>
      <c r="P35" s="35" t="s">
        <v>81</v>
      </c>
      <c r="Z35" s="33">
        <f t="shared" ref="Z35:Z40" si="5">IF(AQ35="5",BJ35,0)</f>
        <v>0</v>
      </c>
      <c r="AB35" s="33">
        <f t="shared" ref="AB35:AB40" si="6">IF(AQ35="1",BH35,0)</f>
        <v>0</v>
      </c>
      <c r="AC35" s="33">
        <f t="shared" ref="AC35:AC40" si="7">IF(AQ35="1",BI35,0)</f>
        <v>0</v>
      </c>
      <c r="AD35" s="33">
        <f t="shared" ref="AD35:AD40" si="8">IF(AQ35="7",BH35,0)</f>
        <v>0</v>
      </c>
      <c r="AE35" s="33">
        <f t="shared" ref="AE35:AE40" si="9">IF(AQ35="7",BI35,0)</f>
        <v>0</v>
      </c>
      <c r="AF35" s="33">
        <f t="shared" ref="AF35:AF40" si="10">IF(AQ35="2",BH35,0)</f>
        <v>0</v>
      </c>
      <c r="AG35" s="33">
        <f t="shared" ref="AG35:AG40" si="11">IF(AQ35="2",BI35,0)</f>
        <v>0</v>
      </c>
      <c r="AH35" s="33">
        <f t="shared" ref="AH35:AH40" si="12">IF(AQ35="0",BJ35,0)</f>
        <v>0</v>
      </c>
      <c r="AI35" s="13" t="s">
        <v>56</v>
      </c>
      <c r="AJ35" s="33">
        <f t="shared" ref="AJ35:AJ40" si="13">IF(AN35=0,L35,0)</f>
        <v>0</v>
      </c>
      <c r="AK35" s="33">
        <f t="shared" ref="AK35:AK40" si="14">IF(AN35=12,L35,0)</f>
        <v>0</v>
      </c>
      <c r="AL35" s="33">
        <f t="shared" ref="AL35:AL40" si="15">IF(AN35=21,L35,0)</f>
        <v>0</v>
      </c>
      <c r="AN35" s="33">
        <v>21</v>
      </c>
      <c r="AO35" s="33">
        <f>H35*0.919020051</f>
        <v>0</v>
      </c>
      <c r="AP35" s="33">
        <f>H35*(1-0.919020051)</f>
        <v>0</v>
      </c>
      <c r="AQ35" s="34" t="s">
        <v>59</v>
      </c>
      <c r="AV35" s="33">
        <f t="shared" ref="AV35:AV40" si="16">AW35+AX35</f>
        <v>0</v>
      </c>
      <c r="AW35" s="33">
        <f t="shared" ref="AW35:AW40" si="17">G35*AO35</f>
        <v>0</v>
      </c>
      <c r="AX35" s="33">
        <f t="shared" ref="AX35:AX40" si="18">G35*AP35</f>
        <v>0</v>
      </c>
      <c r="AY35" s="34" t="s">
        <v>131</v>
      </c>
      <c r="AZ35" s="34" t="s">
        <v>121</v>
      </c>
      <c r="BA35" s="13" t="s">
        <v>66</v>
      </c>
      <c r="BC35" s="33">
        <f t="shared" ref="BC35:BC40" si="19">AW35+AX35</f>
        <v>0</v>
      </c>
      <c r="BD35" s="33">
        <f t="shared" ref="BD35:BD40" si="20">H35/(100-BE35)*100</f>
        <v>0</v>
      </c>
      <c r="BE35" s="33">
        <v>0</v>
      </c>
      <c r="BF35" s="33">
        <f t="shared" ref="BF35:BF40" si="21">O35</f>
        <v>23.456240000000001</v>
      </c>
      <c r="BH35" s="33">
        <f t="shared" ref="BH35:BH40" si="22">G35*AO35</f>
        <v>0</v>
      </c>
      <c r="BI35" s="33">
        <f t="shared" ref="BI35:BI40" si="23">G35*AP35</f>
        <v>0</v>
      </c>
      <c r="BJ35" s="33">
        <f t="shared" ref="BJ35:BJ40" si="24">G35*H35</f>
        <v>0</v>
      </c>
      <c r="BK35" s="33"/>
      <c r="BL35" s="33">
        <v>27</v>
      </c>
      <c r="BW35" s="33" t="str">
        <f t="shared" ref="BW35:BW40" si="25">I35</f>
        <v>21</v>
      </c>
      <c r="BX35" s="5" t="s">
        <v>130</v>
      </c>
    </row>
    <row r="36" spans="1:76" ht="14.4" x14ac:dyDescent="0.3">
      <c r="A36" s="2" t="s">
        <v>132</v>
      </c>
      <c r="B36" s="3" t="s">
        <v>56</v>
      </c>
      <c r="C36" s="3" t="s">
        <v>133</v>
      </c>
      <c r="D36" s="106" t="s">
        <v>134</v>
      </c>
      <c r="E36" s="101"/>
      <c r="F36" s="3" t="s">
        <v>119</v>
      </c>
      <c r="G36" s="33">
        <v>1.0219</v>
      </c>
      <c r="H36" s="95"/>
      <c r="I36" s="34" t="s">
        <v>63</v>
      </c>
      <c r="J36" s="33">
        <f t="shared" si="0"/>
        <v>0</v>
      </c>
      <c r="K36" s="33">
        <f t="shared" si="1"/>
        <v>0</v>
      </c>
      <c r="L36" s="33">
        <f t="shared" si="2"/>
        <v>0</v>
      </c>
      <c r="M36" s="33">
        <f t="shared" si="3"/>
        <v>0</v>
      </c>
      <c r="N36" s="33">
        <v>1.00349</v>
      </c>
      <c r="O36" s="33">
        <f t="shared" si="4"/>
        <v>1.0254664310000001</v>
      </c>
      <c r="P36" s="35" t="s">
        <v>81</v>
      </c>
      <c r="Z36" s="33">
        <f t="shared" si="5"/>
        <v>0</v>
      </c>
      <c r="AB36" s="33">
        <f t="shared" si="6"/>
        <v>0</v>
      </c>
      <c r="AC36" s="33">
        <f t="shared" si="7"/>
        <v>0</v>
      </c>
      <c r="AD36" s="33">
        <f t="shared" si="8"/>
        <v>0</v>
      </c>
      <c r="AE36" s="33">
        <f t="shared" si="9"/>
        <v>0</v>
      </c>
      <c r="AF36" s="33">
        <f t="shared" si="10"/>
        <v>0</v>
      </c>
      <c r="AG36" s="33">
        <f t="shared" si="11"/>
        <v>0</v>
      </c>
      <c r="AH36" s="33">
        <f t="shared" si="12"/>
        <v>0</v>
      </c>
      <c r="AI36" s="13" t="s">
        <v>56</v>
      </c>
      <c r="AJ36" s="33">
        <f t="shared" si="13"/>
        <v>0</v>
      </c>
      <c r="AK36" s="33">
        <f t="shared" si="14"/>
        <v>0</v>
      </c>
      <c r="AL36" s="33">
        <f t="shared" si="15"/>
        <v>0</v>
      </c>
      <c r="AN36" s="33">
        <v>21</v>
      </c>
      <c r="AO36" s="33">
        <f>H36*0.66130462</f>
        <v>0</v>
      </c>
      <c r="AP36" s="33">
        <f>H36*(1-0.66130462)</f>
        <v>0</v>
      </c>
      <c r="AQ36" s="34" t="s">
        <v>59</v>
      </c>
      <c r="AV36" s="33">
        <f t="shared" si="16"/>
        <v>0</v>
      </c>
      <c r="AW36" s="33">
        <f t="shared" si="17"/>
        <v>0</v>
      </c>
      <c r="AX36" s="33">
        <f t="shared" si="18"/>
        <v>0</v>
      </c>
      <c r="AY36" s="34" t="s">
        <v>131</v>
      </c>
      <c r="AZ36" s="34" t="s">
        <v>121</v>
      </c>
      <c r="BA36" s="13" t="s">
        <v>66</v>
      </c>
      <c r="BC36" s="33">
        <f t="shared" si="19"/>
        <v>0</v>
      </c>
      <c r="BD36" s="33">
        <f t="shared" si="20"/>
        <v>0</v>
      </c>
      <c r="BE36" s="33">
        <v>0</v>
      </c>
      <c r="BF36" s="33">
        <f t="shared" si="21"/>
        <v>1.0254664310000001</v>
      </c>
      <c r="BH36" s="33">
        <f t="shared" si="22"/>
        <v>0</v>
      </c>
      <c r="BI36" s="33">
        <f t="shared" si="23"/>
        <v>0</v>
      </c>
      <c r="BJ36" s="33">
        <f t="shared" si="24"/>
        <v>0</v>
      </c>
      <c r="BK36" s="33"/>
      <c r="BL36" s="33">
        <v>27</v>
      </c>
      <c r="BW36" s="33" t="str">
        <f t="shared" si="25"/>
        <v>21</v>
      </c>
      <c r="BX36" s="5" t="s">
        <v>134</v>
      </c>
    </row>
    <row r="37" spans="1:76" ht="14.4" x14ac:dyDescent="0.3">
      <c r="A37" s="2" t="s">
        <v>105</v>
      </c>
      <c r="B37" s="3" t="s">
        <v>56</v>
      </c>
      <c r="C37" s="3" t="s">
        <v>135</v>
      </c>
      <c r="D37" s="106" t="s">
        <v>136</v>
      </c>
      <c r="E37" s="101"/>
      <c r="F37" s="3" t="s">
        <v>80</v>
      </c>
      <c r="G37" s="33">
        <v>17.671500000000002</v>
      </c>
      <c r="H37" s="95"/>
      <c r="I37" s="34" t="s">
        <v>63</v>
      </c>
      <c r="J37" s="33">
        <f t="shared" si="0"/>
        <v>0</v>
      </c>
      <c r="K37" s="33">
        <f t="shared" si="1"/>
        <v>0</v>
      </c>
      <c r="L37" s="33">
        <f t="shared" si="2"/>
        <v>0</v>
      </c>
      <c r="M37" s="33">
        <f t="shared" si="3"/>
        <v>0</v>
      </c>
      <c r="N37" s="33">
        <v>2.5249999999999999</v>
      </c>
      <c r="O37" s="33">
        <f t="shared" si="4"/>
        <v>44.620537500000005</v>
      </c>
      <c r="P37" s="35" t="s">
        <v>81</v>
      </c>
      <c r="Z37" s="33">
        <f t="shared" si="5"/>
        <v>0</v>
      </c>
      <c r="AB37" s="33">
        <f t="shared" si="6"/>
        <v>0</v>
      </c>
      <c r="AC37" s="33">
        <f t="shared" si="7"/>
        <v>0</v>
      </c>
      <c r="AD37" s="33">
        <f t="shared" si="8"/>
        <v>0</v>
      </c>
      <c r="AE37" s="33">
        <f t="shared" si="9"/>
        <v>0</v>
      </c>
      <c r="AF37" s="33">
        <f t="shared" si="10"/>
        <v>0</v>
      </c>
      <c r="AG37" s="33">
        <f t="shared" si="11"/>
        <v>0</v>
      </c>
      <c r="AH37" s="33">
        <f t="shared" si="12"/>
        <v>0</v>
      </c>
      <c r="AI37" s="13" t="s">
        <v>56</v>
      </c>
      <c r="AJ37" s="33">
        <f t="shared" si="13"/>
        <v>0</v>
      </c>
      <c r="AK37" s="33">
        <f t="shared" si="14"/>
        <v>0</v>
      </c>
      <c r="AL37" s="33">
        <f t="shared" si="15"/>
        <v>0</v>
      </c>
      <c r="AN37" s="33">
        <v>21</v>
      </c>
      <c r="AO37" s="33">
        <f>H37*0.933737467</f>
        <v>0</v>
      </c>
      <c r="AP37" s="33">
        <f>H37*(1-0.933737467)</f>
        <v>0</v>
      </c>
      <c r="AQ37" s="34" t="s">
        <v>59</v>
      </c>
      <c r="AV37" s="33">
        <f t="shared" si="16"/>
        <v>0</v>
      </c>
      <c r="AW37" s="33">
        <f t="shared" si="17"/>
        <v>0</v>
      </c>
      <c r="AX37" s="33">
        <f t="shared" si="18"/>
        <v>0</v>
      </c>
      <c r="AY37" s="34" t="s">
        <v>131</v>
      </c>
      <c r="AZ37" s="34" t="s">
        <v>121</v>
      </c>
      <c r="BA37" s="13" t="s">
        <v>66</v>
      </c>
      <c r="BC37" s="33">
        <f t="shared" si="19"/>
        <v>0</v>
      </c>
      <c r="BD37" s="33">
        <f t="shared" si="20"/>
        <v>0</v>
      </c>
      <c r="BE37" s="33">
        <v>0</v>
      </c>
      <c r="BF37" s="33">
        <f t="shared" si="21"/>
        <v>44.620537500000005</v>
      </c>
      <c r="BH37" s="33">
        <f t="shared" si="22"/>
        <v>0</v>
      </c>
      <c r="BI37" s="33">
        <f t="shared" si="23"/>
        <v>0</v>
      </c>
      <c r="BJ37" s="33">
        <f t="shared" si="24"/>
        <v>0</v>
      </c>
      <c r="BK37" s="33"/>
      <c r="BL37" s="33">
        <v>27</v>
      </c>
      <c r="BW37" s="33" t="str">
        <f t="shared" si="25"/>
        <v>21</v>
      </c>
      <c r="BX37" s="5" t="s">
        <v>136</v>
      </c>
    </row>
    <row r="38" spans="1:76" ht="14.4" x14ac:dyDescent="0.3">
      <c r="A38" s="2" t="s">
        <v>110</v>
      </c>
      <c r="B38" s="3" t="s">
        <v>56</v>
      </c>
      <c r="C38" s="3" t="s">
        <v>137</v>
      </c>
      <c r="D38" s="106" t="s">
        <v>138</v>
      </c>
      <c r="E38" s="101"/>
      <c r="F38" s="3" t="s">
        <v>139</v>
      </c>
      <c r="G38" s="33">
        <v>16</v>
      </c>
      <c r="H38" s="95"/>
      <c r="I38" s="34" t="s">
        <v>63</v>
      </c>
      <c r="J38" s="33">
        <f t="shared" si="0"/>
        <v>0</v>
      </c>
      <c r="K38" s="33">
        <f t="shared" si="1"/>
        <v>0</v>
      </c>
      <c r="L38" s="33">
        <f t="shared" si="2"/>
        <v>0</v>
      </c>
      <c r="M38" s="33">
        <f t="shared" si="3"/>
        <v>0</v>
      </c>
      <c r="N38" s="33">
        <v>0</v>
      </c>
      <c r="O38" s="33">
        <f t="shared" si="4"/>
        <v>0</v>
      </c>
      <c r="P38" s="35" t="s">
        <v>81</v>
      </c>
      <c r="Z38" s="33">
        <f t="shared" si="5"/>
        <v>0</v>
      </c>
      <c r="AB38" s="33">
        <f t="shared" si="6"/>
        <v>0</v>
      </c>
      <c r="AC38" s="33">
        <f t="shared" si="7"/>
        <v>0</v>
      </c>
      <c r="AD38" s="33">
        <f t="shared" si="8"/>
        <v>0</v>
      </c>
      <c r="AE38" s="33">
        <f t="shared" si="9"/>
        <v>0</v>
      </c>
      <c r="AF38" s="33">
        <f t="shared" si="10"/>
        <v>0</v>
      </c>
      <c r="AG38" s="33">
        <f t="shared" si="11"/>
        <v>0</v>
      </c>
      <c r="AH38" s="33">
        <f t="shared" si="12"/>
        <v>0</v>
      </c>
      <c r="AI38" s="13" t="s">
        <v>56</v>
      </c>
      <c r="AJ38" s="33">
        <f t="shared" si="13"/>
        <v>0</v>
      </c>
      <c r="AK38" s="33">
        <f t="shared" si="14"/>
        <v>0</v>
      </c>
      <c r="AL38" s="33">
        <f t="shared" si="15"/>
        <v>0</v>
      </c>
      <c r="AN38" s="33">
        <v>21</v>
      </c>
      <c r="AO38" s="33">
        <f>H38*0</f>
        <v>0</v>
      </c>
      <c r="AP38" s="33">
        <f>H38*(1-0)</f>
        <v>0</v>
      </c>
      <c r="AQ38" s="34" t="s">
        <v>59</v>
      </c>
      <c r="AV38" s="33">
        <f t="shared" si="16"/>
        <v>0</v>
      </c>
      <c r="AW38" s="33">
        <f t="shared" si="17"/>
        <v>0</v>
      </c>
      <c r="AX38" s="33">
        <f t="shared" si="18"/>
        <v>0</v>
      </c>
      <c r="AY38" s="34" t="s">
        <v>131</v>
      </c>
      <c r="AZ38" s="34" t="s">
        <v>121</v>
      </c>
      <c r="BA38" s="13" t="s">
        <v>66</v>
      </c>
      <c r="BC38" s="33">
        <f t="shared" si="19"/>
        <v>0</v>
      </c>
      <c r="BD38" s="33">
        <f t="shared" si="20"/>
        <v>0</v>
      </c>
      <c r="BE38" s="33">
        <v>0</v>
      </c>
      <c r="BF38" s="33">
        <f t="shared" si="21"/>
        <v>0</v>
      </c>
      <c r="BH38" s="33">
        <f t="shared" si="22"/>
        <v>0</v>
      </c>
      <c r="BI38" s="33">
        <f t="shared" si="23"/>
        <v>0</v>
      </c>
      <c r="BJ38" s="33">
        <f t="shared" si="24"/>
        <v>0</v>
      </c>
      <c r="BK38" s="33"/>
      <c r="BL38" s="33">
        <v>27</v>
      </c>
      <c r="BW38" s="33" t="str">
        <f t="shared" si="25"/>
        <v>21</v>
      </c>
      <c r="BX38" s="5" t="s">
        <v>138</v>
      </c>
    </row>
    <row r="39" spans="1:76" ht="14.4" x14ac:dyDescent="0.3">
      <c r="A39" s="2" t="s">
        <v>140</v>
      </c>
      <c r="B39" s="3" t="s">
        <v>56</v>
      </c>
      <c r="C39" s="3" t="s">
        <v>141</v>
      </c>
      <c r="D39" s="106" t="s">
        <v>142</v>
      </c>
      <c r="E39" s="101"/>
      <c r="F39" s="3" t="s">
        <v>143</v>
      </c>
      <c r="G39" s="33">
        <v>2</v>
      </c>
      <c r="H39" s="95"/>
      <c r="I39" s="34" t="s">
        <v>63</v>
      </c>
      <c r="J39" s="33">
        <f t="shared" si="0"/>
        <v>0</v>
      </c>
      <c r="K39" s="33">
        <f t="shared" si="1"/>
        <v>0</v>
      </c>
      <c r="L39" s="33">
        <f t="shared" si="2"/>
        <v>0</v>
      </c>
      <c r="M39" s="33">
        <f t="shared" si="3"/>
        <v>0</v>
      </c>
      <c r="N39" s="33">
        <v>7.0000000000000001E-3</v>
      </c>
      <c r="O39" s="33">
        <f t="shared" si="4"/>
        <v>1.4E-2</v>
      </c>
      <c r="P39" s="35" t="s">
        <v>64</v>
      </c>
      <c r="Z39" s="33">
        <f t="shared" si="5"/>
        <v>0</v>
      </c>
      <c r="AB39" s="33">
        <f t="shared" si="6"/>
        <v>0</v>
      </c>
      <c r="AC39" s="33">
        <f t="shared" si="7"/>
        <v>0</v>
      </c>
      <c r="AD39" s="33">
        <f t="shared" si="8"/>
        <v>0</v>
      </c>
      <c r="AE39" s="33">
        <f t="shared" si="9"/>
        <v>0</v>
      </c>
      <c r="AF39" s="33">
        <f t="shared" si="10"/>
        <v>0</v>
      </c>
      <c r="AG39" s="33">
        <f t="shared" si="11"/>
        <v>0</v>
      </c>
      <c r="AH39" s="33">
        <f t="shared" si="12"/>
        <v>0</v>
      </c>
      <c r="AI39" s="13" t="s">
        <v>56</v>
      </c>
      <c r="AJ39" s="33">
        <f t="shared" si="13"/>
        <v>0</v>
      </c>
      <c r="AK39" s="33">
        <f t="shared" si="14"/>
        <v>0</v>
      </c>
      <c r="AL39" s="33">
        <f t="shared" si="15"/>
        <v>0</v>
      </c>
      <c r="AN39" s="33">
        <v>21</v>
      </c>
      <c r="AO39" s="33">
        <f>H39*1</f>
        <v>0</v>
      </c>
      <c r="AP39" s="33">
        <f>H39*(1-1)</f>
        <v>0</v>
      </c>
      <c r="AQ39" s="34" t="s">
        <v>59</v>
      </c>
      <c r="AV39" s="33">
        <f t="shared" si="16"/>
        <v>0</v>
      </c>
      <c r="AW39" s="33">
        <f t="shared" si="17"/>
        <v>0</v>
      </c>
      <c r="AX39" s="33">
        <f t="shared" si="18"/>
        <v>0</v>
      </c>
      <c r="AY39" s="34" t="s">
        <v>131</v>
      </c>
      <c r="AZ39" s="34" t="s">
        <v>121</v>
      </c>
      <c r="BA39" s="13" t="s">
        <v>66</v>
      </c>
      <c r="BC39" s="33">
        <f t="shared" si="19"/>
        <v>0</v>
      </c>
      <c r="BD39" s="33">
        <f t="shared" si="20"/>
        <v>0</v>
      </c>
      <c r="BE39" s="33">
        <v>0</v>
      </c>
      <c r="BF39" s="33">
        <f t="shared" si="21"/>
        <v>1.4E-2</v>
      </c>
      <c r="BH39" s="33">
        <f t="shared" si="22"/>
        <v>0</v>
      </c>
      <c r="BI39" s="33">
        <f t="shared" si="23"/>
        <v>0</v>
      </c>
      <c r="BJ39" s="33">
        <f t="shared" si="24"/>
        <v>0</v>
      </c>
      <c r="BK39" s="33"/>
      <c r="BL39" s="33">
        <v>27</v>
      </c>
      <c r="BW39" s="33" t="str">
        <f t="shared" si="25"/>
        <v>21</v>
      </c>
      <c r="BX39" s="5" t="s">
        <v>142</v>
      </c>
    </row>
    <row r="40" spans="1:76" ht="14.4" x14ac:dyDescent="0.3">
      <c r="A40" s="2" t="s">
        <v>144</v>
      </c>
      <c r="B40" s="3" t="s">
        <v>56</v>
      </c>
      <c r="C40" s="3" t="s">
        <v>141</v>
      </c>
      <c r="D40" s="106" t="s">
        <v>145</v>
      </c>
      <c r="E40" s="101"/>
      <c r="F40" s="3" t="s">
        <v>143</v>
      </c>
      <c r="G40" s="33">
        <v>14</v>
      </c>
      <c r="H40" s="95"/>
      <c r="I40" s="34" t="s">
        <v>63</v>
      </c>
      <c r="J40" s="33">
        <f t="shared" si="0"/>
        <v>0</v>
      </c>
      <c r="K40" s="33">
        <f t="shared" si="1"/>
        <v>0</v>
      </c>
      <c r="L40" s="33">
        <f t="shared" si="2"/>
        <v>0</v>
      </c>
      <c r="M40" s="33">
        <f t="shared" si="3"/>
        <v>0</v>
      </c>
      <c r="N40" s="33">
        <v>7.0000000000000001E-3</v>
      </c>
      <c r="O40" s="33">
        <f t="shared" si="4"/>
        <v>9.8000000000000004E-2</v>
      </c>
      <c r="P40" s="35" t="s">
        <v>64</v>
      </c>
      <c r="Z40" s="33">
        <f t="shared" si="5"/>
        <v>0</v>
      </c>
      <c r="AB40" s="33">
        <f t="shared" si="6"/>
        <v>0</v>
      </c>
      <c r="AC40" s="33">
        <f t="shared" si="7"/>
        <v>0</v>
      </c>
      <c r="AD40" s="33">
        <f t="shared" si="8"/>
        <v>0</v>
      </c>
      <c r="AE40" s="33">
        <f t="shared" si="9"/>
        <v>0</v>
      </c>
      <c r="AF40" s="33">
        <f t="shared" si="10"/>
        <v>0</v>
      </c>
      <c r="AG40" s="33">
        <f t="shared" si="11"/>
        <v>0</v>
      </c>
      <c r="AH40" s="33">
        <f t="shared" si="12"/>
        <v>0</v>
      </c>
      <c r="AI40" s="13" t="s">
        <v>56</v>
      </c>
      <c r="AJ40" s="33">
        <f t="shared" si="13"/>
        <v>0</v>
      </c>
      <c r="AK40" s="33">
        <f t="shared" si="14"/>
        <v>0</v>
      </c>
      <c r="AL40" s="33">
        <f t="shared" si="15"/>
        <v>0</v>
      </c>
      <c r="AN40" s="33">
        <v>21</v>
      </c>
      <c r="AO40" s="33">
        <f>H40*1</f>
        <v>0</v>
      </c>
      <c r="AP40" s="33">
        <f>H40*(1-1)</f>
        <v>0</v>
      </c>
      <c r="AQ40" s="34" t="s">
        <v>59</v>
      </c>
      <c r="AV40" s="33">
        <f t="shared" si="16"/>
        <v>0</v>
      </c>
      <c r="AW40" s="33">
        <f t="shared" si="17"/>
        <v>0</v>
      </c>
      <c r="AX40" s="33">
        <f t="shared" si="18"/>
        <v>0</v>
      </c>
      <c r="AY40" s="34" t="s">
        <v>131</v>
      </c>
      <c r="AZ40" s="34" t="s">
        <v>121</v>
      </c>
      <c r="BA40" s="13" t="s">
        <v>66</v>
      </c>
      <c r="BC40" s="33">
        <f t="shared" si="19"/>
        <v>0</v>
      </c>
      <c r="BD40" s="33">
        <f t="shared" si="20"/>
        <v>0</v>
      </c>
      <c r="BE40" s="33">
        <v>0</v>
      </c>
      <c r="BF40" s="33">
        <f t="shared" si="21"/>
        <v>9.8000000000000004E-2</v>
      </c>
      <c r="BH40" s="33">
        <f t="shared" si="22"/>
        <v>0</v>
      </c>
      <c r="BI40" s="33">
        <f t="shared" si="23"/>
        <v>0</v>
      </c>
      <c r="BJ40" s="33">
        <f t="shared" si="24"/>
        <v>0</v>
      </c>
      <c r="BK40" s="33"/>
      <c r="BL40" s="33">
        <v>27</v>
      </c>
      <c r="BW40" s="33" t="str">
        <f t="shared" si="25"/>
        <v>21</v>
      </c>
      <c r="BX40" s="5" t="s">
        <v>145</v>
      </c>
    </row>
    <row r="41" spans="1:76" ht="14.4" x14ac:dyDescent="0.3">
      <c r="A41" s="36" t="s">
        <v>56</v>
      </c>
      <c r="B41" s="37" t="s">
        <v>56</v>
      </c>
      <c r="C41" s="37" t="s">
        <v>146</v>
      </c>
      <c r="D41" s="125" t="s">
        <v>147</v>
      </c>
      <c r="E41" s="126"/>
      <c r="F41" s="39" t="s">
        <v>4</v>
      </c>
      <c r="G41" s="39" t="s">
        <v>4</v>
      </c>
      <c r="H41" s="39" t="s">
        <v>4</v>
      </c>
      <c r="I41" s="39" t="s">
        <v>4</v>
      </c>
      <c r="J41" s="1">
        <f>SUM(J42:J42)</f>
        <v>0</v>
      </c>
      <c r="K41" s="1">
        <f>SUM(K42:K42)</f>
        <v>0</v>
      </c>
      <c r="L41" s="1">
        <f>SUM(L42:L42)</f>
        <v>0</v>
      </c>
      <c r="M41" s="1">
        <f>SUM(M42:M42)</f>
        <v>0</v>
      </c>
      <c r="N41" s="13" t="s">
        <v>56</v>
      </c>
      <c r="O41" s="1">
        <f>SUM(O42:O42)</f>
        <v>11.34</v>
      </c>
      <c r="P41" s="40" t="s">
        <v>56</v>
      </c>
      <c r="AI41" s="13" t="s">
        <v>56</v>
      </c>
      <c r="AS41" s="1">
        <f>SUM(AJ42:AJ42)</f>
        <v>0</v>
      </c>
      <c r="AT41" s="1">
        <f>SUM(AK42:AK42)</f>
        <v>0</v>
      </c>
      <c r="AU41" s="1">
        <f>SUM(AL42:AL42)</f>
        <v>0</v>
      </c>
    </row>
    <row r="42" spans="1:76" ht="14.4" x14ac:dyDescent="0.3">
      <c r="A42" s="2" t="s">
        <v>63</v>
      </c>
      <c r="B42" s="3" t="s">
        <v>56</v>
      </c>
      <c r="C42" s="3" t="s">
        <v>148</v>
      </c>
      <c r="D42" s="106" t="s">
        <v>149</v>
      </c>
      <c r="E42" s="101"/>
      <c r="F42" s="3" t="s">
        <v>88</v>
      </c>
      <c r="G42" s="33">
        <v>30</v>
      </c>
      <c r="H42" s="95"/>
      <c r="I42" s="34" t="s">
        <v>63</v>
      </c>
      <c r="J42" s="33">
        <f>G42*AO42</f>
        <v>0</v>
      </c>
      <c r="K42" s="33">
        <f>G42*AP42</f>
        <v>0</v>
      </c>
      <c r="L42" s="33">
        <f>G42*H42</f>
        <v>0</v>
      </c>
      <c r="M42" s="33">
        <f>L42*(1+BW42/100)</f>
        <v>0</v>
      </c>
      <c r="N42" s="33">
        <v>0.378</v>
      </c>
      <c r="O42" s="33">
        <f>G42*N42</f>
        <v>11.34</v>
      </c>
      <c r="P42" s="35" t="s">
        <v>81</v>
      </c>
      <c r="Z42" s="33">
        <f>IF(AQ42="5",BJ42,0)</f>
        <v>0</v>
      </c>
      <c r="AB42" s="33">
        <f>IF(AQ42="1",BH42,0)</f>
        <v>0</v>
      </c>
      <c r="AC42" s="33">
        <f>IF(AQ42="1",BI42,0)</f>
        <v>0</v>
      </c>
      <c r="AD42" s="33">
        <f>IF(AQ42="7",BH42,0)</f>
        <v>0</v>
      </c>
      <c r="AE42" s="33">
        <f>IF(AQ42="7",BI42,0)</f>
        <v>0</v>
      </c>
      <c r="AF42" s="33">
        <f>IF(AQ42="2",BH42,0)</f>
        <v>0</v>
      </c>
      <c r="AG42" s="33">
        <f>IF(AQ42="2",BI42,0)</f>
        <v>0</v>
      </c>
      <c r="AH42" s="33">
        <f>IF(AQ42="0",BJ42,0)</f>
        <v>0</v>
      </c>
      <c r="AI42" s="13" t="s">
        <v>56</v>
      </c>
      <c r="AJ42" s="33">
        <f>IF(AN42=0,L42,0)</f>
        <v>0</v>
      </c>
      <c r="AK42" s="33">
        <f>IF(AN42=12,L42,0)</f>
        <v>0</v>
      </c>
      <c r="AL42" s="33">
        <f>IF(AN42=21,L42,0)</f>
        <v>0</v>
      </c>
      <c r="AN42" s="33">
        <v>21</v>
      </c>
      <c r="AO42" s="33">
        <f>H42*0.843538462</f>
        <v>0</v>
      </c>
      <c r="AP42" s="33">
        <f>H42*(1-0.843538462)</f>
        <v>0</v>
      </c>
      <c r="AQ42" s="34" t="s">
        <v>59</v>
      </c>
      <c r="AV42" s="33">
        <f>AW42+AX42</f>
        <v>0</v>
      </c>
      <c r="AW42" s="33">
        <f>G42*AO42</f>
        <v>0</v>
      </c>
      <c r="AX42" s="33">
        <f>G42*AP42</f>
        <v>0</v>
      </c>
      <c r="AY42" s="34" t="s">
        <v>150</v>
      </c>
      <c r="AZ42" s="34" t="s">
        <v>151</v>
      </c>
      <c r="BA42" s="13" t="s">
        <v>66</v>
      </c>
      <c r="BC42" s="33">
        <f>AW42+AX42</f>
        <v>0</v>
      </c>
      <c r="BD42" s="33">
        <f>H42/(100-BE42)*100</f>
        <v>0</v>
      </c>
      <c r="BE42" s="33">
        <v>0</v>
      </c>
      <c r="BF42" s="33">
        <f>O42</f>
        <v>11.34</v>
      </c>
      <c r="BH42" s="33">
        <f>G42*AO42</f>
        <v>0</v>
      </c>
      <c r="BI42" s="33">
        <f>G42*AP42</f>
        <v>0</v>
      </c>
      <c r="BJ42" s="33">
        <f>G42*H42</f>
        <v>0</v>
      </c>
      <c r="BK42" s="33"/>
      <c r="BL42" s="33">
        <v>56</v>
      </c>
      <c r="BW42" s="33" t="str">
        <f>I42</f>
        <v>21</v>
      </c>
      <c r="BX42" s="5" t="s">
        <v>149</v>
      </c>
    </row>
    <row r="43" spans="1:76" ht="14.4" x14ac:dyDescent="0.3">
      <c r="A43" s="36" t="s">
        <v>56</v>
      </c>
      <c r="B43" s="37" t="s">
        <v>56</v>
      </c>
      <c r="C43" s="37" t="s">
        <v>152</v>
      </c>
      <c r="D43" s="125" t="s">
        <v>153</v>
      </c>
      <c r="E43" s="126"/>
      <c r="F43" s="39" t="s">
        <v>4</v>
      </c>
      <c r="G43" s="39" t="s">
        <v>4</v>
      </c>
      <c r="H43" s="39" t="s">
        <v>4</v>
      </c>
      <c r="I43" s="39" t="s">
        <v>4</v>
      </c>
      <c r="J43" s="1">
        <f>SUM(J44:J47)</f>
        <v>0</v>
      </c>
      <c r="K43" s="1">
        <f>SUM(K44:K47)</f>
        <v>0</v>
      </c>
      <c r="L43" s="1">
        <f>SUM(L44:L47)</f>
        <v>0</v>
      </c>
      <c r="M43" s="1">
        <f>SUM(M44:M47)</f>
        <v>0</v>
      </c>
      <c r="N43" s="13" t="s">
        <v>56</v>
      </c>
      <c r="O43" s="1">
        <f>SUM(O44:O47)</f>
        <v>7.2195420859999997</v>
      </c>
      <c r="P43" s="40" t="s">
        <v>56</v>
      </c>
      <c r="AI43" s="13" t="s">
        <v>56</v>
      </c>
      <c r="AS43" s="1">
        <f>SUM(AJ44:AJ47)</f>
        <v>0</v>
      </c>
      <c r="AT43" s="1">
        <f>SUM(AK44:AK47)</f>
        <v>0</v>
      </c>
      <c r="AU43" s="1">
        <f>SUM(AL44:AL47)</f>
        <v>0</v>
      </c>
    </row>
    <row r="44" spans="1:76" ht="14.4" x14ac:dyDescent="0.3">
      <c r="A44" s="2" t="s">
        <v>154</v>
      </c>
      <c r="B44" s="3" t="s">
        <v>56</v>
      </c>
      <c r="C44" s="3" t="s">
        <v>155</v>
      </c>
      <c r="D44" s="106" t="s">
        <v>156</v>
      </c>
      <c r="E44" s="101"/>
      <c r="F44" s="3" t="s">
        <v>80</v>
      </c>
      <c r="G44" s="33">
        <v>8.7082999999999995</v>
      </c>
      <c r="H44" s="95"/>
      <c r="I44" s="34" t="s">
        <v>63</v>
      </c>
      <c r="J44" s="33">
        <f>G44*AO44</f>
        <v>0</v>
      </c>
      <c r="K44" s="33">
        <f>G44*AP44</f>
        <v>0</v>
      </c>
      <c r="L44" s="33">
        <f>G44*H44</f>
        <v>0</v>
      </c>
      <c r="M44" s="33">
        <f>L44*(1+BW44/100)</f>
        <v>0</v>
      </c>
      <c r="N44" s="33">
        <v>1.6500000000000001E-2</v>
      </c>
      <c r="O44" s="33">
        <f>G44*N44</f>
        <v>0.14368695000000001</v>
      </c>
      <c r="P44" s="35" t="s">
        <v>81</v>
      </c>
      <c r="Z44" s="33">
        <f>IF(AQ44="5",BJ44,0)</f>
        <v>0</v>
      </c>
      <c r="AB44" s="33">
        <f>IF(AQ44="1",BH44,0)</f>
        <v>0</v>
      </c>
      <c r="AC44" s="33">
        <f>IF(AQ44="1",BI44,0)</f>
        <v>0</v>
      </c>
      <c r="AD44" s="33">
        <f>IF(AQ44="7",BH44,0)</f>
        <v>0</v>
      </c>
      <c r="AE44" s="33">
        <f>IF(AQ44="7",BI44,0)</f>
        <v>0</v>
      </c>
      <c r="AF44" s="33">
        <f>IF(AQ44="2",BH44,0)</f>
        <v>0</v>
      </c>
      <c r="AG44" s="33">
        <f>IF(AQ44="2",BI44,0)</f>
        <v>0</v>
      </c>
      <c r="AH44" s="33">
        <f>IF(AQ44="0",BJ44,0)</f>
        <v>0</v>
      </c>
      <c r="AI44" s="13" t="s">
        <v>56</v>
      </c>
      <c r="AJ44" s="33">
        <f>IF(AN44=0,L44,0)</f>
        <v>0</v>
      </c>
      <c r="AK44" s="33">
        <f>IF(AN44=12,L44,0)</f>
        <v>0</v>
      </c>
      <c r="AL44" s="33">
        <f>IF(AN44=21,L44,0)</f>
        <v>0</v>
      </c>
      <c r="AN44" s="33">
        <v>21</v>
      </c>
      <c r="AO44" s="33">
        <f>H44*0.989125787</f>
        <v>0</v>
      </c>
      <c r="AP44" s="33">
        <f>H44*(1-0.989125787)</f>
        <v>0</v>
      </c>
      <c r="AQ44" s="34" t="s">
        <v>85</v>
      </c>
      <c r="AV44" s="33">
        <f>AW44+AX44</f>
        <v>0</v>
      </c>
      <c r="AW44" s="33">
        <f>G44*AO44</f>
        <v>0</v>
      </c>
      <c r="AX44" s="33">
        <f>G44*AP44</f>
        <v>0</v>
      </c>
      <c r="AY44" s="34" t="s">
        <v>157</v>
      </c>
      <c r="AZ44" s="34" t="s">
        <v>158</v>
      </c>
      <c r="BA44" s="13" t="s">
        <v>66</v>
      </c>
      <c r="BC44" s="33">
        <f>AW44+AX44</f>
        <v>0</v>
      </c>
      <c r="BD44" s="33">
        <f>H44/(100-BE44)*100</f>
        <v>0</v>
      </c>
      <c r="BE44" s="33">
        <v>0</v>
      </c>
      <c r="BF44" s="33">
        <f>O44</f>
        <v>0.14368695000000001</v>
      </c>
      <c r="BH44" s="33">
        <f>G44*AO44</f>
        <v>0</v>
      </c>
      <c r="BI44" s="33">
        <f>G44*AP44</f>
        <v>0</v>
      </c>
      <c r="BJ44" s="33">
        <f>G44*H44</f>
        <v>0</v>
      </c>
      <c r="BK44" s="33"/>
      <c r="BL44" s="33">
        <v>762</v>
      </c>
      <c r="BW44" s="33" t="str">
        <f>I44</f>
        <v>21</v>
      </c>
      <c r="BX44" s="5" t="s">
        <v>156</v>
      </c>
    </row>
    <row r="45" spans="1:76" ht="14.4" x14ac:dyDescent="0.3">
      <c r="A45" s="2" t="s">
        <v>159</v>
      </c>
      <c r="B45" s="3" t="s">
        <v>56</v>
      </c>
      <c r="C45" s="3" t="s">
        <v>160</v>
      </c>
      <c r="D45" s="106" t="s">
        <v>161</v>
      </c>
      <c r="E45" s="101"/>
      <c r="F45" s="3" t="s">
        <v>125</v>
      </c>
      <c r="G45" s="33">
        <v>2642.8571000000002</v>
      </c>
      <c r="H45" s="95"/>
      <c r="I45" s="34" t="s">
        <v>63</v>
      </c>
      <c r="J45" s="33">
        <f>G45*AO45</f>
        <v>0</v>
      </c>
      <c r="K45" s="33">
        <f>G45*AP45</f>
        <v>0</v>
      </c>
      <c r="L45" s="33">
        <f>G45*H45</f>
        <v>0</v>
      </c>
      <c r="M45" s="33">
        <f>L45*(1+BW45/100)</f>
        <v>0</v>
      </c>
      <c r="N45" s="33">
        <v>1.6000000000000001E-4</v>
      </c>
      <c r="O45" s="33">
        <f>G45*N45</f>
        <v>0.42285713600000008</v>
      </c>
      <c r="P45" s="35" t="s">
        <v>81</v>
      </c>
      <c r="Z45" s="33">
        <f>IF(AQ45="5",BJ45,0)</f>
        <v>0</v>
      </c>
      <c r="AB45" s="33">
        <f>IF(AQ45="1",BH45,0)</f>
        <v>0</v>
      </c>
      <c r="AC45" s="33">
        <f>IF(AQ45="1",BI45,0)</f>
        <v>0</v>
      </c>
      <c r="AD45" s="33">
        <f>IF(AQ45="7",BH45,0)</f>
        <v>0</v>
      </c>
      <c r="AE45" s="33">
        <f>IF(AQ45="7",BI45,0)</f>
        <v>0</v>
      </c>
      <c r="AF45" s="33">
        <f>IF(AQ45="2",BH45,0)</f>
        <v>0</v>
      </c>
      <c r="AG45" s="33">
        <f>IF(AQ45="2",BI45,0)</f>
        <v>0</v>
      </c>
      <c r="AH45" s="33">
        <f>IF(AQ45="0",BJ45,0)</f>
        <v>0</v>
      </c>
      <c r="AI45" s="13" t="s">
        <v>56</v>
      </c>
      <c r="AJ45" s="33">
        <f>IF(AN45=0,L45,0)</f>
        <v>0</v>
      </c>
      <c r="AK45" s="33">
        <f>IF(AN45=12,L45,0)</f>
        <v>0</v>
      </c>
      <c r="AL45" s="33">
        <f>IF(AN45=21,L45,0)</f>
        <v>0</v>
      </c>
      <c r="AN45" s="33">
        <v>21</v>
      </c>
      <c r="AO45" s="33">
        <f>H45*0.051422319</f>
        <v>0</v>
      </c>
      <c r="AP45" s="33">
        <f>H45*(1-0.051422319)</f>
        <v>0</v>
      </c>
      <c r="AQ45" s="34" t="s">
        <v>85</v>
      </c>
      <c r="AV45" s="33">
        <f>AW45+AX45</f>
        <v>0</v>
      </c>
      <c r="AW45" s="33">
        <f>G45*AO45</f>
        <v>0</v>
      </c>
      <c r="AX45" s="33">
        <f>G45*AP45</f>
        <v>0</v>
      </c>
      <c r="AY45" s="34" t="s">
        <v>157</v>
      </c>
      <c r="AZ45" s="34" t="s">
        <v>158</v>
      </c>
      <c r="BA45" s="13" t="s">
        <v>66</v>
      </c>
      <c r="BC45" s="33">
        <f>AW45+AX45</f>
        <v>0</v>
      </c>
      <c r="BD45" s="33">
        <f>H45/(100-BE45)*100</f>
        <v>0</v>
      </c>
      <c r="BE45" s="33">
        <v>0</v>
      </c>
      <c r="BF45" s="33">
        <f>O45</f>
        <v>0.42285713600000008</v>
      </c>
      <c r="BH45" s="33">
        <f>G45*AO45</f>
        <v>0</v>
      </c>
      <c r="BI45" s="33">
        <f>G45*AP45</f>
        <v>0</v>
      </c>
      <c r="BJ45" s="33">
        <f>G45*H45</f>
        <v>0</v>
      </c>
      <c r="BK45" s="33"/>
      <c r="BL45" s="33">
        <v>762</v>
      </c>
      <c r="BW45" s="33" t="str">
        <f>I45</f>
        <v>21</v>
      </c>
      <c r="BX45" s="5" t="s">
        <v>161</v>
      </c>
    </row>
    <row r="46" spans="1:76" ht="14.4" x14ac:dyDescent="0.3">
      <c r="A46" s="2" t="s">
        <v>162</v>
      </c>
      <c r="B46" s="3" t="s">
        <v>56</v>
      </c>
      <c r="C46" s="3" t="s">
        <v>163</v>
      </c>
      <c r="D46" s="106" t="s">
        <v>164</v>
      </c>
      <c r="E46" s="101"/>
      <c r="F46" s="3" t="s">
        <v>88</v>
      </c>
      <c r="G46" s="33">
        <v>369.61099999999999</v>
      </c>
      <c r="H46" s="95"/>
      <c r="I46" s="34" t="s">
        <v>63</v>
      </c>
      <c r="J46" s="33">
        <f>G46*AO46</f>
        <v>0</v>
      </c>
      <c r="K46" s="33">
        <f>G46*AP46</f>
        <v>0</v>
      </c>
      <c r="L46" s="33">
        <f>G46*H46</f>
        <v>0</v>
      </c>
      <c r="M46" s="33">
        <f>L46*(1+BW46/100)</f>
        <v>0</v>
      </c>
      <c r="N46" s="33">
        <v>1.7999999999999999E-2</v>
      </c>
      <c r="O46" s="33">
        <f>G46*N46</f>
        <v>6.6529979999999993</v>
      </c>
      <c r="P46" s="35" t="s">
        <v>81</v>
      </c>
      <c r="Z46" s="33">
        <f>IF(AQ46="5",BJ46,0)</f>
        <v>0</v>
      </c>
      <c r="AB46" s="33">
        <f>IF(AQ46="1",BH46,0)</f>
        <v>0</v>
      </c>
      <c r="AC46" s="33">
        <f>IF(AQ46="1",BI46,0)</f>
        <v>0</v>
      </c>
      <c r="AD46" s="33">
        <f>IF(AQ46="7",BH46,0)</f>
        <v>0</v>
      </c>
      <c r="AE46" s="33">
        <f>IF(AQ46="7",BI46,0)</f>
        <v>0</v>
      </c>
      <c r="AF46" s="33">
        <f>IF(AQ46="2",BH46,0)</f>
        <v>0</v>
      </c>
      <c r="AG46" s="33">
        <f>IF(AQ46="2",BI46,0)</f>
        <v>0</v>
      </c>
      <c r="AH46" s="33">
        <f>IF(AQ46="0",BJ46,0)</f>
        <v>0</v>
      </c>
      <c r="AI46" s="13" t="s">
        <v>56</v>
      </c>
      <c r="AJ46" s="33">
        <f>IF(AN46=0,L46,0)</f>
        <v>0</v>
      </c>
      <c r="AK46" s="33">
        <f>IF(AN46=12,L46,0)</f>
        <v>0</v>
      </c>
      <c r="AL46" s="33">
        <f>IF(AN46=21,L46,0)</f>
        <v>0</v>
      </c>
      <c r="AN46" s="33">
        <v>21</v>
      </c>
      <c r="AO46" s="33">
        <f>H46*1</f>
        <v>0</v>
      </c>
      <c r="AP46" s="33">
        <f>H46*(1-1)</f>
        <v>0</v>
      </c>
      <c r="AQ46" s="34" t="s">
        <v>85</v>
      </c>
      <c r="AV46" s="33">
        <f>AW46+AX46</f>
        <v>0</v>
      </c>
      <c r="AW46" s="33">
        <f>G46*AO46</f>
        <v>0</v>
      </c>
      <c r="AX46" s="33">
        <f>G46*AP46</f>
        <v>0</v>
      </c>
      <c r="AY46" s="34" t="s">
        <v>157</v>
      </c>
      <c r="AZ46" s="34" t="s">
        <v>158</v>
      </c>
      <c r="BA46" s="13" t="s">
        <v>66</v>
      </c>
      <c r="BC46" s="33">
        <f>AW46+AX46</f>
        <v>0</v>
      </c>
      <c r="BD46" s="33">
        <f>H46/(100-BE46)*100</f>
        <v>0</v>
      </c>
      <c r="BE46" s="33">
        <v>0</v>
      </c>
      <c r="BF46" s="33">
        <f>O46</f>
        <v>6.6529979999999993</v>
      </c>
      <c r="BH46" s="33">
        <f>G46*AO46</f>
        <v>0</v>
      </c>
      <c r="BI46" s="33">
        <f>G46*AP46</f>
        <v>0</v>
      </c>
      <c r="BJ46" s="33">
        <f>G46*H46</f>
        <v>0</v>
      </c>
      <c r="BK46" s="33"/>
      <c r="BL46" s="33">
        <v>762</v>
      </c>
      <c r="BW46" s="33" t="str">
        <f>I46</f>
        <v>21</v>
      </c>
      <c r="BX46" s="5" t="s">
        <v>164</v>
      </c>
    </row>
    <row r="47" spans="1:76" ht="14.4" x14ac:dyDescent="0.3">
      <c r="A47" s="2" t="s">
        <v>165</v>
      </c>
      <c r="B47" s="3" t="s">
        <v>56</v>
      </c>
      <c r="C47" s="3" t="s">
        <v>166</v>
      </c>
      <c r="D47" s="106" t="s">
        <v>167</v>
      </c>
      <c r="E47" s="101"/>
      <c r="F47" s="3" t="s">
        <v>119</v>
      </c>
      <c r="G47" s="33">
        <v>7.2195999999999998</v>
      </c>
      <c r="H47" s="95"/>
      <c r="I47" s="34" t="s">
        <v>63</v>
      </c>
      <c r="J47" s="33">
        <f>G47*AO47</f>
        <v>0</v>
      </c>
      <c r="K47" s="33">
        <f>G47*AP47</f>
        <v>0</v>
      </c>
      <c r="L47" s="33">
        <f>G47*H47</f>
        <v>0</v>
      </c>
      <c r="M47" s="33">
        <f>L47*(1+BW47/100)</f>
        <v>0</v>
      </c>
      <c r="N47" s="33">
        <v>0</v>
      </c>
      <c r="O47" s="33">
        <f>G47*N47</f>
        <v>0</v>
      </c>
      <c r="P47" s="35" t="s">
        <v>81</v>
      </c>
      <c r="Z47" s="33">
        <f>IF(AQ47="5",BJ47,0)</f>
        <v>0</v>
      </c>
      <c r="AB47" s="33">
        <f>IF(AQ47="1",BH47,0)</f>
        <v>0</v>
      </c>
      <c r="AC47" s="33">
        <f>IF(AQ47="1",BI47,0)</f>
        <v>0</v>
      </c>
      <c r="AD47" s="33">
        <f>IF(AQ47="7",BH47,0)</f>
        <v>0</v>
      </c>
      <c r="AE47" s="33">
        <f>IF(AQ47="7",BI47,0)</f>
        <v>0</v>
      </c>
      <c r="AF47" s="33">
        <f>IF(AQ47="2",BH47,0)</f>
        <v>0</v>
      </c>
      <c r="AG47" s="33">
        <f>IF(AQ47="2",BI47,0)</f>
        <v>0</v>
      </c>
      <c r="AH47" s="33">
        <f>IF(AQ47="0",BJ47,0)</f>
        <v>0</v>
      </c>
      <c r="AI47" s="13" t="s">
        <v>56</v>
      </c>
      <c r="AJ47" s="33">
        <f>IF(AN47=0,L47,0)</f>
        <v>0</v>
      </c>
      <c r="AK47" s="33">
        <f>IF(AN47=12,L47,0)</f>
        <v>0</v>
      </c>
      <c r="AL47" s="33">
        <f>IF(AN47=21,L47,0)</f>
        <v>0</v>
      </c>
      <c r="AN47" s="33">
        <v>21</v>
      </c>
      <c r="AO47" s="33">
        <f>H47*0</f>
        <v>0</v>
      </c>
      <c r="AP47" s="33">
        <f>H47*(1-0)</f>
        <v>0</v>
      </c>
      <c r="AQ47" s="34" t="s">
        <v>74</v>
      </c>
      <c r="AV47" s="33">
        <f>AW47+AX47</f>
        <v>0</v>
      </c>
      <c r="AW47" s="33">
        <f>G47*AO47</f>
        <v>0</v>
      </c>
      <c r="AX47" s="33">
        <f>G47*AP47</f>
        <v>0</v>
      </c>
      <c r="AY47" s="34" t="s">
        <v>157</v>
      </c>
      <c r="AZ47" s="34" t="s">
        <v>158</v>
      </c>
      <c r="BA47" s="13" t="s">
        <v>66</v>
      </c>
      <c r="BC47" s="33">
        <f>AW47+AX47</f>
        <v>0</v>
      </c>
      <c r="BD47" s="33">
        <f>H47/(100-BE47)*100</f>
        <v>0</v>
      </c>
      <c r="BE47" s="33">
        <v>0</v>
      </c>
      <c r="BF47" s="33">
        <f>O47</f>
        <v>0</v>
      </c>
      <c r="BH47" s="33">
        <f>G47*AO47</f>
        <v>0</v>
      </c>
      <c r="BI47" s="33">
        <f>G47*AP47</f>
        <v>0</v>
      </c>
      <c r="BJ47" s="33">
        <f>G47*H47</f>
        <v>0</v>
      </c>
      <c r="BK47" s="33"/>
      <c r="BL47" s="33">
        <v>762</v>
      </c>
      <c r="BW47" s="33" t="str">
        <f>I47</f>
        <v>21</v>
      </c>
      <c r="BX47" s="5" t="s">
        <v>167</v>
      </c>
    </row>
    <row r="48" spans="1:76" ht="14.4" x14ac:dyDescent="0.3">
      <c r="A48" s="36" t="s">
        <v>56</v>
      </c>
      <c r="B48" s="37" t="s">
        <v>56</v>
      </c>
      <c r="C48" s="37" t="s">
        <v>168</v>
      </c>
      <c r="D48" s="125" t="s">
        <v>169</v>
      </c>
      <c r="E48" s="126"/>
      <c r="F48" s="39" t="s">
        <v>4</v>
      </c>
      <c r="G48" s="39" t="s">
        <v>4</v>
      </c>
      <c r="H48" s="39" t="s">
        <v>4</v>
      </c>
      <c r="I48" s="39" t="s">
        <v>4</v>
      </c>
      <c r="J48" s="1">
        <f>SUM(J49:J55)</f>
        <v>0</v>
      </c>
      <c r="K48" s="1">
        <f>SUM(K49:K55)</f>
        <v>0</v>
      </c>
      <c r="L48" s="1">
        <f>SUM(L49:L55)</f>
        <v>0</v>
      </c>
      <c r="M48" s="1">
        <f>SUM(M49:M55)</f>
        <v>0</v>
      </c>
      <c r="N48" s="13" t="s">
        <v>56</v>
      </c>
      <c r="O48" s="1">
        <f>SUM(O49:O55)</f>
        <v>8.0181525449999995</v>
      </c>
      <c r="P48" s="40" t="s">
        <v>56</v>
      </c>
      <c r="AI48" s="13" t="s">
        <v>56</v>
      </c>
      <c r="AS48" s="1">
        <f>SUM(AJ49:AJ55)</f>
        <v>0</v>
      </c>
      <c r="AT48" s="1">
        <f>SUM(AK49:AK55)</f>
        <v>0</v>
      </c>
      <c r="AU48" s="1">
        <f>SUM(AL49:AL55)</f>
        <v>0</v>
      </c>
    </row>
    <row r="49" spans="1:76" ht="14.4" x14ac:dyDescent="0.3">
      <c r="A49" s="2" t="s">
        <v>115</v>
      </c>
      <c r="B49" s="3" t="s">
        <v>56</v>
      </c>
      <c r="C49" s="3" t="s">
        <v>170</v>
      </c>
      <c r="D49" s="106" t="s">
        <v>171</v>
      </c>
      <c r="E49" s="101"/>
      <c r="F49" s="3" t="s">
        <v>172</v>
      </c>
      <c r="G49" s="33">
        <v>6697.3608999999997</v>
      </c>
      <c r="H49" s="95"/>
      <c r="I49" s="34" t="s">
        <v>63</v>
      </c>
      <c r="J49" s="33">
        <f t="shared" ref="J49:J55" si="26">G49*AO49</f>
        <v>0</v>
      </c>
      <c r="K49" s="33">
        <f t="shared" ref="K49:K55" si="27">G49*AP49</f>
        <v>0</v>
      </c>
      <c r="L49" s="33">
        <f t="shared" ref="L49:L55" si="28">G49*H49</f>
        <v>0</v>
      </c>
      <c r="M49" s="33">
        <f t="shared" ref="M49:M55" si="29">L49*(1+BW49/100)</f>
        <v>0</v>
      </c>
      <c r="N49" s="33">
        <v>5.0000000000000002E-5</v>
      </c>
      <c r="O49" s="33">
        <f t="shared" ref="O49:O55" si="30">G49*N49</f>
        <v>0.334868045</v>
      </c>
      <c r="P49" s="35" t="s">
        <v>81</v>
      </c>
      <c r="Z49" s="33">
        <f t="shared" ref="Z49:Z55" si="31">IF(AQ49="5",BJ49,0)</f>
        <v>0</v>
      </c>
      <c r="AB49" s="33">
        <f t="shared" ref="AB49:AB55" si="32">IF(AQ49="1",BH49,0)</f>
        <v>0</v>
      </c>
      <c r="AC49" s="33">
        <f t="shared" ref="AC49:AC55" si="33">IF(AQ49="1",BI49,0)</f>
        <v>0</v>
      </c>
      <c r="AD49" s="33">
        <f t="shared" ref="AD49:AD55" si="34">IF(AQ49="7",BH49,0)</f>
        <v>0</v>
      </c>
      <c r="AE49" s="33">
        <f t="shared" ref="AE49:AE55" si="35">IF(AQ49="7",BI49,0)</f>
        <v>0</v>
      </c>
      <c r="AF49" s="33">
        <f t="shared" ref="AF49:AF55" si="36">IF(AQ49="2",BH49,0)</f>
        <v>0</v>
      </c>
      <c r="AG49" s="33">
        <f t="shared" ref="AG49:AG55" si="37">IF(AQ49="2",BI49,0)</f>
        <v>0</v>
      </c>
      <c r="AH49" s="33">
        <f t="shared" ref="AH49:AH55" si="38">IF(AQ49="0",BJ49,0)</f>
        <v>0</v>
      </c>
      <c r="AI49" s="13" t="s">
        <v>56</v>
      </c>
      <c r="AJ49" s="33">
        <f t="shared" ref="AJ49:AJ55" si="39">IF(AN49=0,L49,0)</f>
        <v>0</v>
      </c>
      <c r="AK49" s="33">
        <f t="shared" ref="AK49:AK55" si="40">IF(AN49=12,L49,0)</f>
        <v>0</v>
      </c>
      <c r="AL49" s="33">
        <f t="shared" ref="AL49:AL55" si="41">IF(AN49=21,L49,0)</f>
        <v>0</v>
      </c>
      <c r="AN49" s="33">
        <v>21</v>
      </c>
      <c r="AO49" s="33">
        <f>H49*0.29911505</f>
        <v>0</v>
      </c>
      <c r="AP49" s="33">
        <f>H49*(1-0.29911505)</f>
        <v>0</v>
      </c>
      <c r="AQ49" s="34" t="s">
        <v>85</v>
      </c>
      <c r="AV49" s="33">
        <f t="shared" ref="AV49:AV55" si="42">AW49+AX49</f>
        <v>0</v>
      </c>
      <c r="AW49" s="33">
        <f t="shared" ref="AW49:AW55" si="43">G49*AO49</f>
        <v>0</v>
      </c>
      <c r="AX49" s="33">
        <f t="shared" ref="AX49:AX55" si="44">G49*AP49</f>
        <v>0</v>
      </c>
      <c r="AY49" s="34" t="s">
        <v>173</v>
      </c>
      <c r="AZ49" s="34" t="s">
        <v>158</v>
      </c>
      <c r="BA49" s="13" t="s">
        <v>66</v>
      </c>
      <c r="BC49" s="33">
        <f t="shared" ref="BC49:BC55" si="45">AW49+AX49</f>
        <v>0</v>
      </c>
      <c r="BD49" s="33">
        <f t="shared" ref="BD49:BD55" si="46">H49/(100-BE49)*100</f>
        <v>0</v>
      </c>
      <c r="BE49" s="33">
        <v>0</v>
      </c>
      <c r="BF49" s="33">
        <f t="shared" ref="BF49:BF55" si="47">O49</f>
        <v>0.334868045</v>
      </c>
      <c r="BH49" s="33">
        <f t="shared" ref="BH49:BH55" si="48">G49*AO49</f>
        <v>0</v>
      </c>
      <c r="BI49" s="33">
        <f t="shared" ref="BI49:BI55" si="49">G49*AP49</f>
        <v>0</v>
      </c>
      <c r="BJ49" s="33">
        <f t="shared" ref="BJ49:BJ55" si="50">G49*H49</f>
        <v>0</v>
      </c>
      <c r="BK49" s="33"/>
      <c r="BL49" s="33">
        <v>767</v>
      </c>
      <c r="BW49" s="33" t="str">
        <f t="shared" ref="BW49:BW55" si="51">I49</f>
        <v>21</v>
      </c>
      <c r="BX49" s="5" t="s">
        <v>171</v>
      </c>
    </row>
    <row r="50" spans="1:76" ht="14.4" x14ac:dyDescent="0.3">
      <c r="A50" s="2" t="s">
        <v>126</v>
      </c>
      <c r="B50" s="3" t="s">
        <v>56</v>
      </c>
      <c r="C50" s="3" t="s">
        <v>174</v>
      </c>
      <c r="D50" s="106" t="s">
        <v>175</v>
      </c>
      <c r="E50" s="101"/>
      <c r="F50" s="3" t="s">
        <v>176</v>
      </c>
      <c r="G50" s="33">
        <v>143.19999999999999</v>
      </c>
      <c r="H50" s="95"/>
      <c r="I50" s="34" t="s">
        <v>63</v>
      </c>
      <c r="J50" s="33">
        <f t="shared" si="26"/>
        <v>0</v>
      </c>
      <c r="K50" s="33">
        <f t="shared" si="27"/>
        <v>0</v>
      </c>
      <c r="L50" s="33">
        <f t="shared" si="28"/>
        <v>0</v>
      </c>
      <c r="M50" s="33">
        <f t="shared" si="29"/>
        <v>0</v>
      </c>
      <c r="N50" s="33">
        <v>4.5690000000000001E-2</v>
      </c>
      <c r="O50" s="33">
        <f t="shared" si="30"/>
        <v>6.542808</v>
      </c>
      <c r="P50" s="35" t="s">
        <v>64</v>
      </c>
      <c r="Z50" s="33">
        <f t="shared" si="31"/>
        <v>0</v>
      </c>
      <c r="AB50" s="33">
        <f t="shared" si="32"/>
        <v>0</v>
      </c>
      <c r="AC50" s="33">
        <f t="shared" si="33"/>
        <v>0</v>
      </c>
      <c r="AD50" s="33">
        <f t="shared" si="34"/>
        <v>0</v>
      </c>
      <c r="AE50" s="33">
        <f t="shared" si="35"/>
        <v>0</v>
      </c>
      <c r="AF50" s="33">
        <f t="shared" si="36"/>
        <v>0</v>
      </c>
      <c r="AG50" s="33">
        <f t="shared" si="37"/>
        <v>0</v>
      </c>
      <c r="AH50" s="33">
        <f t="shared" si="38"/>
        <v>0</v>
      </c>
      <c r="AI50" s="13" t="s">
        <v>56</v>
      </c>
      <c r="AJ50" s="33">
        <f t="shared" si="39"/>
        <v>0</v>
      </c>
      <c r="AK50" s="33">
        <f t="shared" si="40"/>
        <v>0</v>
      </c>
      <c r="AL50" s="33">
        <f t="shared" si="41"/>
        <v>0</v>
      </c>
      <c r="AN50" s="33">
        <v>21</v>
      </c>
      <c r="AO50" s="33">
        <f>H50*0.017890411</f>
        <v>0</v>
      </c>
      <c r="AP50" s="33">
        <f>H50*(1-0.017890411)</f>
        <v>0</v>
      </c>
      <c r="AQ50" s="34" t="s">
        <v>85</v>
      </c>
      <c r="AV50" s="33">
        <f t="shared" si="42"/>
        <v>0</v>
      </c>
      <c r="AW50" s="33">
        <f t="shared" si="43"/>
        <v>0</v>
      </c>
      <c r="AX50" s="33">
        <f t="shared" si="44"/>
        <v>0</v>
      </c>
      <c r="AY50" s="34" t="s">
        <v>173</v>
      </c>
      <c r="AZ50" s="34" t="s">
        <v>158</v>
      </c>
      <c r="BA50" s="13" t="s">
        <v>66</v>
      </c>
      <c r="BC50" s="33">
        <f t="shared" si="45"/>
        <v>0</v>
      </c>
      <c r="BD50" s="33">
        <f t="shared" si="46"/>
        <v>0</v>
      </c>
      <c r="BE50" s="33">
        <v>0</v>
      </c>
      <c r="BF50" s="33">
        <f t="shared" si="47"/>
        <v>6.542808</v>
      </c>
      <c r="BH50" s="33">
        <f t="shared" si="48"/>
        <v>0</v>
      </c>
      <c r="BI50" s="33">
        <f t="shared" si="49"/>
        <v>0</v>
      </c>
      <c r="BJ50" s="33">
        <f t="shared" si="50"/>
        <v>0</v>
      </c>
      <c r="BK50" s="33"/>
      <c r="BL50" s="33">
        <v>767</v>
      </c>
      <c r="BW50" s="33" t="str">
        <f t="shared" si="51"/>
        <v>21</v>
      </c>
      <c r="BX50" s="5" t="s">
        <v>175</v>
      </c>
    </row>
    <row r="51" spans="1:76" ht="14.4" x14ac:dyDescent="0.3">
      <c r="A51" s="2" t="s">
        <v>177</v>
      </c>
      <c r="B51" s="3" t="s">
        <v>56</v>
      </c>
      <c r="C51" s="3" t="s">
        <v>178</v>
      </c>
      <c r="D51" s="106" t="s">
        <v>179</v>
      </c>
      <c r="E51" s="101"/>
      <c r="F51" s="3" t="s">
        <v>139</v>
      </c>
      <c r="G51" s="33">
        <v>2</v>
      </c>
      <c r="H51" s="95"/>
      <c r="I51" s="34" t="s">
        <v>63</v>
      </c>
      <c r="J51" s="33">
        <f t="shared" si="26"/>
        <v>0</v>
      </c>
      <c r="K51" s="33">
        <f t="shared" si="27"/>
        <v>0</v>
      </c>
      <c r="L51" s="33">
        <f t="shared" si="28"/>
        <v>0</v>
      </c>
      <c r="M51" s="33">
        <f t="shared" si="29"/>
        <v>0</v>
      </c>
      <c r="N51" s="33">
        <v>1E-3</v>
      </c>
      <c r="O51" s="33">
        <f t="shared" si="30"/>
        <v>2E-3</v>
      </c>
      <c r="P51" s="35" t="s">
        <v>64</v>
      </c>
      <c r="Z51" s="33">
        <f t="shared" si="31"/>
        <v>0</v>
      </c>
      <c r="AB51" s="33">
        <f t="shared" si="32"/>
        <v>0</v>
      </c>
      <c r="AC51" s="33">
        <f t="shared" si="33"/>
        <v>0</v>
      </c>
      <c r="AD51" s="33">
        <f t="shared" si="34"/>
        <v>0</v>
      </c>
      <c r="AE51" s="33">
        <f t="shared" si="35"/>
        <v>0</v>
      </c>
      <c r="AF51" s="33">
        <f t="shared" si="36"/>
        <v>0</v>
      </c>
      <c r="AG51" s="33">
        <f t="shared" si="37"/>
        <v>0</v>
      </c>
      <c r="AH51" s="33">
        <f t="shared" si="38"/>
        <v>0</v>
      </c>
      <c r="AI51" s="13" t="s">
        <v>56</v>
      </c>
      <c r="AJ51" s="33">
        <f t="shared" si="39"/>
        <v>0</v>
      </c>
      <c r="AK51" s="33">
        <f t="shared" si="40"/>
        <v>0</v>
      </c>
      <c r="AL51" s="33">
        <f t="shared" si="41"/>
        <v>0</v>
      </c>
      <c r="AN51" s="33">
        <v>21</v>
      </c>
      <c r="AO51" s="33">
        <f>H51*1</f>
        <v>0</v>
      </c>
      <c r="AP51" s="33">
        <f>H51*(1-1)</f>
        <v>0</v>
      </c>
      <c r="AQ51" s="34" t="s">
        <v>85</v>
      </c>
      <c r="AV51" s="33">
        <f t="shared" si="42"/>
        <v>0</v>
      </c>
      <c r="AW51" s="33">
        <f t="shared" si="43"/>
        <v>0</v>
      </c>
      <c r="AX51" s="33">
        <f t="shared" si="44"/>
        <v>0</v>
      </c>
      <c r="AY51" s="34" t="s">
        <v>173</v>
      </c>
      <c r="AZ51" s="34" t="s">
        <v>158</v>
      </c>
      <c r="BA51" s="13" t="s">
        <v>66</v>
      </c>
      <c r="BC51" s="33">
        <f t="shared" si="45"/>
        <v>0</v>
      </c>
      <c r="BD51" s="33">
        <f t="shared" si="46"/>
        <v>0</v>
      </c>
      <c r="BE51" s="33">
        <v>0</v>
      </c>
      <c r="BF51" s="33">
        <f t="shared" si="47"/>
        <v>2E-3</v>
      </c>
      <c r="BH51" s="33">
        <f t="shared" si="48"/>
        <v>0</v>
      </c>
      <c r="BI51" s="33">
        <f t="shared" si="49"/>
        <v>0</v>
      </c>
      <c r="BJ51" s="33">
        <f t="shared" si="50"/>
        <v>0</v>
      </c>
      <c r="BK51" s="33"/>
      <c r="BL51" s="33">
        <v>767</v>
      </c>
      <c r="BW51" s="33" t="str">
        <f t="shared" si="51"/>
        <v>21</v>
      </c>
      <c r="BX51" s="5" t="s">
        <v>179</v>
      </c>
    </row>
    <row r="52" spans="1:76" ht="14.4" x14ac:dyDescent="0.3">
      <c r="A52" s="2" t="s">
        <v>180</v>
      </c>
      <c r="B52" s="3" t="s">
        <v>56</v>
      </c>
      <c r="C52" s="3" t="s">
        <v>181</v>
      </c>
      <c r="D52" s="106" t="s">
        <v>182</v>
      </c>
      <c r="E52" s="101"/>
      <c r="F52" s="3" t="s">
        <v>88</v>
      </c>
      <c r="G52" s="33">
        <v>162.3511</v>
      </c>
      <c r="H52" s="95"/>
      <c r="I52" s="34" t="s">
        <v>63</v>
      </c>
      <c r="J52" s="33">
        <f t="shared" si="26"/>
        <v>0</v>
      </c>
      <c r="K52" s="33">
        <f t="shared" si="27"/>
        <v>0</v>
      </c>
      <c r="L52" s="33">
        <f t="shared" si="28"/>
        <v>0</v>
      </c>
      <c r="M52" s="33">
        <f t="shared" si="29"/>
        <v>0</v>
      </c>
      <c r="N52" s="33">
        <v>7.0000000000000001E-3</v>
      </c>
      <c r="O52" s="33">
        <f t="shared" si="30"/>
        <v>1.1364577</v>
      </c>
      <c r="P52" s="35" t="s">
        <v>81</v>
      </c>
      <c r="Z52" s="33">
        <f t="shared" si="31"/>
        <v>0</v>
      </c>
      <c r="AB52" s="33">
        <f t="shared" si="32"/>
        <v>0</v>
      </c>
      <c r="AC52" s="33">
        <f t="shared" si="33"/>
        <v>0</v>
      </c>
      <c r="AD52" s="33">
        <f t="shared" si="34"/>
        <v>0</v>
      </c>
      <c r="AE52" s="33">
        <f t="shared" si="35"/>
        <v>0</v>
      </c>
      <c r="AF52" s="33">
        <f t="shared" si="36"/>
        <v>0</v>
      </c>
      <c r="AG52" s="33">
        <f t="shared" si="37"/>
        <v>0</v>
      </c>
      <c r="AH52" s="33">
        <f t="shared" si="38"/>
        <v>0</v>
      </c>
      <c r="AI52" s="13" t="s">
        <v>56</v>
      </c>
      <c r="AJ52" s="33">
        <f t="shared" si="39"/>
        <v>0</v>
      </c>
      <c r="AK52" s="33">
        <f t="shared" si="40"/>
        <v>0</v>
      </c>
      <c r="AL52" s="33">
        <f t="shared" si="41"/>
        <v>0</v>
      </c>
      <c r="AN52" s="33">
        <v>21</v>
      </c>
      <c r="AO52" s="33">
        <f>H52*1</f>
        <v>0</v>
      </c>
      <c r="AP52" s="33">
        <f>H52*(1-1)</f>
        <v>0</v>
      </c>
      <c r="AQ52" s="34" t="s">
        <v>85</v>
      </c>
      <c r="AV52" s="33">
        <f t="shared" si="42"/>
        <v>0</v>
      </c>
      <c r="AW52" s="33">
        <f t="shared" si="43"/>
        <v>0</v>
      </c>
      <c r="AX52" s="33">
        <f t="shared" si="44"/>
        <v>0</v>
      </c>
      <c r="AY52" s="34" t="s">
        <v>173</v>
      </c>
      <c r="AZ52" s="34" t="s">
        <v>158</v>
      </c>
      <c r="BA52" s="13" t="s">
        <v>66</v>
      </c>
      <c r="BC52" s="33">
        <f t="shared" si="45"/>
        <v>0</v>
      </c>
      <c r="BD52" s="33">
        <f t="shared" si="46"/>
        <v>0</v>
      </c>
      <c r="BE52" s="33">
        <v>0</v>
      </c>
      <c r="BF52" s="33">
        <f t="shared" si="47"/>
        <v>1.1364577</v>
      </c>
      <c r="BH52" s="33">
        <f t="shared" si="48"/>
        <v>0</v>
      </c>
      <c r="BI52" s="33">
        <f t="shared" si="49"/>
        <v>0</v>
      </c>
      <c r="BJ52" s="33">
        <f t="shared" si="50"/>
        <v>0</v>
      </c>
      <c r="BK52" s="33"/>
      <c r="BL52" s="33">
        <v>767</v>
      </c>
      <c r="BW52" s="33" t="str">
        <f t="shared" si="51"/>
        <v>21</v>
      </c>
      <c r="BX52" s="5" t="s">
        <v>182</v>
      </c>
    </row>
    <row r="53" spans="1:76" ht="14.4" x14ac:dyDescent="0.3">
      <c r="A53" s="2" t="s">
        <v>183</v>
      </c>
      <c r="B53" s="3" t="s">
        <v>56</v>
      </c>
      <c r="C53" s="3" t="s">
        <v>184</v>
      </c>
      <c r="D53" s="106" t="s">
        <v>185</v>
      </c>
      <c r="E53" s="101"/>
      <c r="F53" s="3" t="s">
        <v>88</v>
      </c>
      <c r="G53" s="33">
        <v>0.39200000000000002</v>
      </c>
      <c r="H53" s="95"/>
      <c r="I53" s="34" t="s">
        <v>63</v>
      </c>
      <c r="J53" s="33">
        <f t="shared" si="26"/>
        <v>0</v>
      </c>
      <c r="K53" s="33">
        <f t="shared" si="27"/>
        <v>0</v>
      </c>
      <c r="L53" s="33">
        <f t="shared" si="28"/>
        <v>0</v>
      </c>
      <c r="M53" s="33">
        <f t="shared" si="29"/>
        <v>0</v>
      </c>
      <c r="N53" s="33">
        <v>5.1500000000000001E-3</v>
      </c>
      <c r="O53" s="33">
        <f t="shared" si="30"/>
        <v>2.0188000000000003E-3</v>
      </c>
      <c r="P53" s="35" t="s">
        <v>81</v>
      </c>
      <c r="Z53" s="33">
        <f t="shared" si="31"/>
        <v>0</v>
      </c>
      <c r="AB53" s="33">
        <f t="shared" si="32"/>
        <v>0</v>
      </c>
      <c r="AC53" s="33">
        <f t="shared" si="33"/>
        <v>0</v>
      </c>
      <c r="AD53" s="33">
        <f t="shared" si="34"/>
        <v>0</v>
      </c>
      <c r="AE53" s="33">
        <f t="shared" si="35"/>
        <v>0</v>
      </c>
      <c r="AF53" s="33">
        <f t="shared" si="36"/>
        <v>0</v>
      </c>
      <c r="AG53" s="33">
        <f t="shared" si="37"/>
        <v>0</v>
      </c>
      <c r="AH53" s="33">
        <f t="shared" si="38"/>
        <v>0</v>
      </c>
      <c r="AI53" s="13" t="s">
        <v>56</v>
      </c>
      <c r="AJ53" s="33">
        <f t="shared" si="39"/>
        <v>0</v>
      </c>
      <c r="AK53" s="33">
        <f t="shared" si="40"/>
        <v>0</v>
      </c>
      <c r="AL53" s="33">
        <f t="shared" si="41"/>
        <v>0</v>
      </c>
      <c r="AN53" s="33">
        <v>21</v>
      </c>
      <c r="AO53" s="33">
        <f>H53*1</f>
        <v>0</v>
      </c>
      <c r="AP53" s="33">
        <f>H53*(1-1)</f>
        <v>0</v>
      </c>
      <c r="AQ53" s="34" t="s">
        <v>85</v>
      </c>
      <c r="AV53" s="33">
        <f t="shared" si="42"/>
        <v>0</v>
      </c>
      <c r="AW53" s="33">
        <f t="shared" si="43"/>
        <v>0</v>
      </c>
      <c r="AX53" s="33">
        <f t="shared" si="44"/>
        <v>0</v>
      </c>
      <c r="AY53" s="34" t="s">
        <v>173</v>
      </c>
      <c r="AZ53" s="34" t="s">
        <v>158</v>
      </c>
      <c r="BA53" s="13" t="s">
        <v>66</v>
      </c>
      <c r="BC53" s="33">
        <f t="shared" si="45"/>
        <v>0</v>
      </c>
      <c r="BD53" s="33">
        <f t="shared" si="46"/>
        <v>0</v>
      </c>
      <c r="BE53" s="33">
        <v>0</v>
      </c>
      <c r="BF53" s="33">
        <f t="shared" si="47"/>
        <v>2.0188000000000003E-3</v>
      </c>
      <c r="BH53" s="33">
        <f t="shared" si="48"/>
        <v>0</v>
      </c>
      <c r="BI53" s="33">
        <f t="shared" si="49"/>
        <v>0</v>
      </c>
      <c r="BJ53" s="33">
        <f t="shared" si="50"/>
        <v>0</v>
      </c>
      <c r="BK53" s="33"/>
      <c r="BL53" s="33">
        <v>767</v>
      </c>
      <c r="BW53" s="33" t="str">
        <f t="shared" si="51"/>
        <v>21</v>
      </c>
      <c r="BX53" s="5" t="s">
        <v>185</v>
      </c>
    </row>
    <row r="54" spans="1:76" ht="14.4" x14ac:dyDescent="0.3">
      <c r="A54" s="2" t="s">
        <v>186</v>
      </c>
      <c r="B54" s="3" t="s">
        <v>56</v>
      </c>
      <c r="C54" s="3" t="s">
        <v>187</v>
      </c>
      <c r="D54" s="106" t="s">
        <v>188</v>
      </c>
      <c r="E54" s="101"/>
      <c r="F54" s="3" t="s">
        <v>88</v>
      </c>
      <c r="G54" s="33">
        <v>143.19999999999999</v>
      </c>
      <c r="H54" s="95"/>
      <c r="I54" s="34" t="s">
        <v>63</v>
      </c>
      <c r="J54" s="33">
        <f t="shared" si="26"/>
        <v>0</v>
      </c>
      <c r="K54" s="33">
        <f t="shared" si="27"/>
        <v>0</v>
      </c>
      <c r="L54" s="33">
        <f t="shared" si="28"/>
        <v>0</v>
      </c>
      <c r="M54" s="33">
        <f t="shared" si="29"/>
        <v>0</v>
      </c>
      <c r="N54" s="33">
        <v>0</v>
      </c>
      <c r="O54" s="33">
        <f t="shared" si="30"/>
        <v>0</v>
      </c>
      <c r="P54" s="35" t="s">
        <v>64</v>
      </c>
      <c r="Z54" s="33">
        <f t="shared" si="31"/>
        <v>0</v>
      </c>
      <c r="AB54" s="33">
        <f t="shared" si="32"/>
        <v>0</v>
      </c>
      <c r="AC54" s="33">
        <f t="shared" si="33"/>
        <v>0</v>
      </c>
      <c r="AD54" s="33">
        <f t="shared" si="34"/>
        <v>0</v>
      </c>
      <c r="AE54" s="33">
        <f t="shared" si="35"/>
        <v>0</v>
      </c>
      <c r="AF54" s="33">
        <f t="shared" si="36"/>
        <v>0</v>
      </c>
      <c r="AG54" s="33">
        <f t="shared" si="37"/>
        <v>0</v>
      </c>
      <c r="AH54" s="33">
        <f t="shared" si="38"/>
        <v>0</v>
      </c>
      <c r="AI54" s="13" t="s">
        <v>56</v>
      </c>
      <c r="AJ54" s="33">
        <f t="shared" si="39"/>
        <v>0</v>
      </c>
      <c r="AK54" s="33">
        <f t="shared" si="40"/>
        <v>0</v>
      </c>
      <c r="AL54" s="33">
        <f t="shared" si="41"/>
        <v>0</v>
      </c>
      <c r="AN54" s="33">
        <v>21</v>
      </c>
      <c r="AO54" s="33">
        <f>H54*1</f>
        <v>0</v>
      </c>
      <c r="AP54" s="33">
        <f>H54*(1-1)</f>
        <v>0</v>
      </c>
      <c r="AQ54" s="34" t="s">
        <v>85</v>
      </c>
      <c r="AV54" s="33">
        <f t="shared" si="42"/>
        <v>0</v>
      </c>
      <c r="AW54" s="33">
        <f t="shared" si="43"/>
        <v>0</v>
      </c>
      <c r="AX54" s="33">
        <f t="shared" si="44"/>
        <v>0</v>
      </c>
      <c r="AY54" s="34" t="s">
        <v>173</v>
      </c>
      <c r="AZ54" s="34" t="s">
        <v>158</v>
      </c>
      <c r="BA54" s="13" t="s">
        <v>66</v>
      </c>
      <c r="BC54" s="33">
        <f t="shared" si="45"/>
        <v>0</v>
      </c>
      <c r="BD54" s="33">
        <f t="shared" si="46"/>
        <v>0</v>
      </c>
      <c r="BE54" s="33">
        <v>0</v>
      </c>
      <c r="BF54" s="33">
        <f t="shared" si="47"/>
        <v>0</v>
      </c>
      <c r="BH54" s="33">
        <f t="shared" si="48"/>
        <v>0</v>
      </c>
      <c r="BI54" s="33">
        <f t="shared" si="49"/>
        <v>0</v>
      </c>
      <c r="BJ54" s="33">
        <f t="shared" si="50"/>
        <v>0</v>
      </c>
      <c r="BK54" s="33"/>
      <c r="BL54" s="33">
        <v>767</v>
      </c>
      <c r="BW54" s="33" t="str">
        <f t="shared" si="51"/>
        <v>21</v>
      </c>
      <c r="BX54" s="5" t="s">
        <v>188</v>
      </c>
    </row>
    <row r="55" spans="1:76" ht="14.4" x14ac:dyDescent="0.3">
      <c r="A55" s="2" t="s">
        <v>189</v>
      </c>
      <c r="B55" s="3" t="s">
        <v>56</v>
      </c>
      <c r="C55" s="3" t="s">
        <v>190</v>
      </c>
      <c r="D55" s="106" t="s">
        <v>191</v>
      </c>
      <c r="E55" s="101"/>
      <c r="F55" s="3" t="s">
        <v>119</v>
      </c>
      <c r="G55" s="33">
        <v>5.33</v>
      </c>
      <c r="H55" s="95"/>
      <c r="I55" s="34" t="s">
        <v>63</v>
      </c>
      <c r="J55" s="33">
        <f t="shared" si="26"/>
        <v>0</v>
      </c>
      <c r="K55" s="33">
        <f t="shared" si="27"/>
        <v>0</v>
      </c>
      <c r="L55" s="33">
        <f t="shared" si="28"/>
        <v>0</v>
      </c>
      <c r="M55" s="33">
        <f t="shared" si="29"/>
        <v>0</v>
      </c>
      <c r="N55" s="33">
        <v>0</v>
      </c>
      <c r="O55" s="33">
        <f t="shared" si="30"/>
        <v>0</v>
      </c>
      <c r="P55" s="35" t="s">
        <v>81</v>
      </c>
      <c r="Z55" s="33">
        <f t="shared" si="31"/>
        <v>0</v>
      </c>
      <c r="AB55" s="33">
        <f t="shared" si="32"/>
        <v>0</v>
      </c>
      <c r="AC55" s="33">
        <f t="shared" si="33"/>
        <v>0</v>
      </c>
      <c r="AD55" s="33">
        <f t="shared" si="34"/>
        <v>0</v>
      </c>
      <c r="AE55" s="33">
        <f t="shared" si="35"/>
        <v>0</v>
      </c>
      <c r="AF55" s="33">
        <f t="shared" si="36"/>
        <v>0</v>
      </c>
      <c r="AG55" s="33">
        <f t="shared" si="37"/>
        <v>0</v>
      </c>
      <c r="AH55" s="33">
        <f t="shared" si="38"/>
        <v>0</v>
      </c>
      <c r="AI55" s="13" t="s">
        <v>56</v>
      </c>
      <c r="AJ55" s="33">
        <f t="shared" si="39"/>
        <v>0</v>
      </c>
      <c r="AK55" s="33">
        <f t="shared" si="40"/>
        <v>0</v>
      </c>
      <c r="AL55" s="33">
        <f t="shared" si="41"/>
        <v>0</v>
      </c>
      <c r="AN55" s="33">
        <v>21</v>
      </c>
      <c r="AO55" s="33">
        <f>H55*0</f>
        <v>0</v>
      </c>
      <c r="AP55" s="33">
        <f>H55*(1-0)</f>
        <v>0</v>
      </c>
      <c r="AQ55" s="34" t="s">
        <v>74</v>
      </c>
      <c r="AV55" s="33">
        <f t="shared" si="42"/>
        <v>0</v>
      </c>
      <c r="AW55" s="33">
        <f t="shared" si="43"/>
        <v>0</v>
      </c>
      <c r="AX55" s="33">
        <f t="shared" si="44"/>
        <v>0</v>
      </c>
      <c r="AY55" s="34" t="s">
        <v>173</v>
      </c>
      <c r="AZ55" s="34" t="s">
        <v>158</v>
      </c>
      <c r="BA55" s="13" t="s">
        <v>66</v>
      </c>
      <c r="BC55" s="33">
        <f t="shared" si="45"/>
        <v>0</v>
      </c>
      <c r="BD55" s="33">
        <f t="shared" si="46"/>
        <v>0</v>
      </c>
      <c r="BE55" s="33">
        <v>0</v>
      </c>
      <c r="BF55" s="33">
        <f t="shared" si="47"/>
        <v>0</v>
      </c>
      <c r="BH55" s="33">
        <f t="shared" si="48"/>
        <v>0</v>
      </c>
      <c r="BI55" s="33">
        <f t="shared" si="49"/>
        <v>0</v>
      </c>
      <c r="BJ55" s="33">
        <f t="shared" si="50"/>
        <v>0</v>
      </c>
      <c r="BK55" s="33"/>
      <c r="BL55" s="33">
        <v>767</v>
      </c>
      <c r="BW55" s="33" t="str">
        <f t="shared" si="51"/>
        <v>21</v>
      </c>
      <c r="BX55" s="5" t="s">
        <v>191</v>
      </c>
    </row>
    <row r="56" spans="1:76" ht="14.4" x14ac:dyDescent="0.3">
      <c r="A56" s="36" t="s">
        <v>56</v>
      </c>
      <c r="B56" s="37" t="s">
        <v>56</v>
      </c>
      <c r="C56" s="37" t="s">
        <v>192</v>
      </c>
      <c r="D56" s="125" t="s">
        <v>193</v>
      </c>
      <c r="E56" s="126"/>
      <c r="F56" s="39" t="s">
        <v>4</v>
      </c>
      <c r="G56" s="39" t="s">
        <v>4</v>
      </c>
      <c r="H56" s="39" t="s">
        <v>4</v>
      </c>
      <c r="I56" s="39" t="s">
        <v>4</v>
      </c>
      <c r="J56" s="1">
        <f>SUM(J57:J59)</f>
        <v>0</v>
      </c>
      <c r="K56" s="1">
        <f>SUM(K57:K59)</f>
        <v>0</v>
      </c>
      <c r="L56" s="1">
        <f>SUM(L57:L59)</f>
        <v>0</v>
      </c>
      <c r="M56" s="1">
        <f>SUM(M57:M59)</f>
        <v>0</v>
      </c>
      <c r="N56" s="13" t="s">
        <v>56</v>
      </c>
      <c r="O56" s="1">
        <f>SUM(O57:O59)</f>
        <v>0</v>
      </c>
      <c r="P56" s="40" t="s">
        <v>56</v>
      </c>
      <c r="AI56" s="13" t="s">
        <v>56</v>
      </c>
      <c r="AS56" s="1">
        <f>SUM(AJ57:AJ59)</f>
        <v>0</v>
      </c>
      <c r="AT56" s="1">
        <f>SUM(AK57:AK59)</f>
        <v>0</v>
      </c>
      <c r="AU56" s="1">
        <f>SUM(AL57:AL59)</f>
        <v>0</v>
      </c>
    </row>
    <row r="57" spans="1:76" ht="14.4" x14ac:dyDescent="0.3">
      <c r="A57" s="2" t="s">
        <v>194</v>
      </c>
      <c r="B57" s="3" t="s">
        <v>56</v>
      </c>
      <c r="C57" s="3" t="s">
        <v>195</v>
      </c>
      <c r="D57" s="106" t="s">
        <v>196</v>
      </c>
      <c r="E57" s="101"/>
      <c r="F57" s="3" t="s">
        <v>197</v>
      </c>
      <c r="G57" s="33">
        <v>65</v>
      </c>
      <c r="H57" s="95"/>
      <c r="I57" s="34" t="s">
        <v>63</v>
      </c>
      <c r="J57" s="33">
        <f>G57*AO57</f>
        <v>0</v>
      </c>
      <c r="K57" s="33">
        <f>G57*AP57</f>
        <v>0</v>
      </c>
      <c r="L57" s="33">
        <f>G57*H57</f>
        <v>0</v>
      </c>
      <c r="M57" s="33">
        <f>L57*(1+BW57/100)</f>
        <v>0</v>
      </c>
      <c r="N57" s="33">
        <v>0</v>
      </c>
      <c r="O57" s="33">
        <f>G57*N57</f>
        <v>0</v>
      </c>
      <c r="P57" s="35" t="s">
        <v>64</v>
      </c>
      <c r="Z57" s="33">
        <f>IF(AQ57="5",BJ57,0)</f>
        <v>0</v>
      </c>
      <c r="AB57" s="33">
        <f>IF(AQ57="1",BH57,0)</f>
        <v>0</v>
      </c>
      <c r="AC57" s="33">
        <f>IF(AQ57="1",BI57,0)</f>
        <v>0</v>
      </c>
      <c r="AD57" s="33">
        <f>IF(AQ57="7",BH57,0)</f>
        <v>0</v>
      </c>
      <c r="AE57" s="33">
        <f>IF(AQ57="7",BI57,0)</f>
        <v>0</v>
      </c>
      <c r="AF57" s="33">
        <f>IF(AQ57="2",BH57,0)</f>
        <v>0</v>
      </c>
      <c r="AG57" s="33">
        <f>IF(AQ57="2",BI57,0)</f>
        <v>0</v>
      </c>
      <c r="AH57" s="33">
        <f>IF(AQ57="0",BJ57,0)</f>
        <v>0</v>
      </c>
      <c r="AI57" s="13" t="s">
        <v>56</v>
      </c>
      <c r="AJ57" s="33">
        <f>IF(AN57=0,L57,0)</f>
        <v>0</v>
      </c>
      <c r="AK57" s="33">
        <f>IF(AN57=12,L57,0)</f>
        <v>0</v>
      </c>
      <c r="AL57" s="33">
        <f>IF(AN57=21,L57,0)</f>
        <v>0</v>
      </c>
      <c r="AN57" s="33">
        <v>21</v>
      </c>
      <c r="AO57" s="33">
        <f>H57*0</f>
        <v>0</v>
      </c>
      <c r="AP57" s="33">
        <f>H57*(1-0)</f>
        <v>0</v>
      </c>
      <c r="AQ57" s="34" t="s">
        <v>59</v>
      </c>
      <c r="AV57" s="33">
        <f>AW57+AX57</f>
        <v>0</v>
      </c>
      <c r="AW57" s="33">
        <f>G57*AO57</f>
        <v>0</v>
      </c>
      <c r="AX57" s="33">
        <f>G57*AP57</f>
        <v>0</v>
      </c>
      <c r="AY57" s="34" t="s">
        <v>198</v>
      </c>
      <c r="AZ57" s="34" t="s">
        <v>199</v>
      </c>
      <c r="BA57" s="13" t="s">
        <v>66</v>
      </c>
      <c r="BC57" s="33">
        <f>AW57+AX57</f>
        <v>0</v>
      </c>
      <c r="BD57" s="33">
        <f>H57/(100-BE57)*100</f>
        <v>0</v>
      </c>
      <c r="BE57" s="33">
        <v>0</v>
      </c>
      <c r="BF57" s="33">
        <f>O57</f>
        <v>0</v>
      </c>
      <c r="BH57" s="33">
        <f>G57*AO57</f>
        <v>0</v>
      </c>
      <c r="BI57" s="33">
        <f>G57*AP57</f>
        <v>0</v>
      </c>
      <c r="BJ57" s="33">
        <f>G57*H57</f>
        <v>0</v>
      </c>
      <c r="BK57" s="33"/>
      <c r="BL57" s="33">
        <v>90</v>
      </c>
      <c r="BW57" s="33" t="str">
        <f>I57</f>
        <v>21</v>
      </c>
      <c r="BX57" s="5" t="s">
        <v>196</v>
      </c>
    </row>
    <row r="58" spans="1:76" ht="14.4" x14ac:dyDescent="0.3">
      <c r="A58" s="2" t="s">
        <v>200</v>
      </c>
      <c r="B58" s="3" t="s">
        <v>56</v>
      </c>
      <c r="C58" s="3" t="s">
        <v>201</v>
      </c>
      <c r="D58" s="106" t="s">
        <v>202</v>
      </c>
      <c r="E58" s="101"/>
      <c r="F58" s="3" t="s">
        <v>197</v>
      </c>
      <c r="G58" s="33">
        <v>350</v>
      </c>
      <c r="H58" s="95"/>
      <c r="I58" s="34" t="s">
        <v>63</v>
      </c>
      <c r="J58" s="33">
        <f>G58*AO58</f>
        <v>0</v>
      </c>
      <c r="K58" s="33">
        <f>G58*AP58</f>
        <v>0</v>
      </c>
      <c r="L58" s="33">
        <f>G58*H58</f>
        <v>0</v>
      </c>
      <c r="M58" s="33">
        <f>L58*(1+BW58/100)</f>
        <v>0</v>
      </c>
      <c r="N58" s="33">
        <v>0</v>
      </c>
      <c r="O58" s="33">
        <f>G58*N58</f>
        <v>0</v>
      </c>
      <c r="P58" s="35" t="s">
        <v>64</v>
      </c>
      <c r="Z58" s="33">
        <f>IF(AQ58="5",BJ58,0)</f>
        <v>0</v>
      </c>
      <c r="AB58" s="33">
        <f>IF(AQ58="1",BH58,0)</f>
        <v>0</v>
      </c>
      <c r="AC58" s="33">
        <f>IF(AQ58="1",BI58,0)</f>
        <v>0</v>
      </c>
      <c r="AD58" s="33">
        <f>IF(AQ58="7",BH58,0)</f>
        <v>0</v>
      </c>
      <c r="AE58" s="33">
        <f>IF(AQ58="7",BI58,0)</f>
        <v>0</v>
      </c>
      <c r="AF58" s="33">
        <f>IF(AQ58="2",BH58,0)</f>
        <v>0</v>
      </c>
      <c r="AG58" s="33">
        <f>IF(AQ58="2",BI58,0)</f>
        <v>0</v>
      </c>
      <c r="AH58" s="33">
        <f>IF(AQ58="0",BJ58,0)</f>
        <v>0</v>
      </c>
      <c r="AI58" s="13" t="s">
        <v>56</v>
      </c>
      <c r="AJ58" s="33">
        <f>IF(AN58=0,L58,0)</f>
        <v>0</v>
      </c>
      <c r="AK58" s="33">
        <f>IF(AN58=12,L58,0)</f>
        <v>0</v>
      </c>
      <c r="AL58" s="33">
        <f>IF(AN58=21,L58,0)</f>
        <v>0</v>
      </c>
      <c r="AN58" s="33">
        <v>21</v>
      </c>
      <c r="AO58" s="33">
        <f>H58*0</f>
        <v>0</v>
      </c>
      <c r="AP58" s="33">
        <f>H58*(1-0)</f>
        <v>0</v>
      </c>
      <c r="AQ58" s="34" t="s">
        <v>59</v>
      </c>
      <c r="AV58" s="33">
        <f>AW58+AX58</f>
        <v>0</v>
      </c>
      <c r="AW58" s="33">
        <f>G58*AO58</f>
        <v>0</v>
      </c>
      <c r="AX58" s="33">
        <f>G58*AP58</f>
        <v>0</v>
      </c>
      <c r="AY58" s="34" t="s">
        <v>198</v>
      </c>
      <c r="AZ58" s="34" t="s">
        <v>199</v>
      </c>
      <c r="BA58" s="13" t="s">
        <v>66</v>
      </c>
      <c r="BC58" s="33">
        <f>AW58+AX58</f>
        <v>0</v>
      </c>
      <c r="BD58" s="33">
        <f>H58/(100-BE58)*100</f>
        <v>0</v>
      </c>
      <c r="BE58" s="33">
        <v>0</v>
      </c>
      <c r="BF58" s="33">
        <f>O58</f>
        <v>0</v>
      </c>
      <c r="BH58" s="33">
        <f>G58*AO58</f>
        <v>0</v>
      </c>
      <c r="BI58" s="33">
        <f>G58*AP58</f>
        <v>0</v>
      </c>
      <c r="BJ58" s="33">
        <f>G58*H58</f>
        <v>0</v>
      </c>
      <c r="BK58" s="33"/>
      <c r="BL58" s="33">
        <v>90</v>
      </c>
      <c r="BW58" s="33" t="str">
        <f>I58</f>
        <v>21</v>
      </c>
      <c r="BX58" s="5" t="s">
        <v>202</v>
      </c>
    </row>
    <row r="59" spans="1:76" ht="14.4" x14ac:dyDescent="0.3">
      <c r="A59" s="2" t="s">
        <v>203</v>
      </c>
      <c r="B59" s="3" t="s">
        <v>56</v>
      </c>
      <c r="C59" s="3" t="s">
        <v>204</v>
      </c>
      <c r="D59" s="106" t="s">
        <v>202</v>
      </c>
      <c r="E59" s="101"/>
      <c r="F59" s="3" t="s">
        <v>197</v>
      </c>
      <c r="G59" s="33">
        <v>100</v>
      </c>
      <c r="H59" s="95"/>
      <c r="I59" s="34" t="s">
        <v>63</v>
      </c>
      <c r="J59" s="33">
        <f>G59*AO59</f>
        <v>0</v>
      </c>
      <c r="K59" s="33">
        <f>G59*AP59</f>
        <v>0</v>
      </c>
      <c r="L59" s="33">
        <f>G59*H59</f>
        <v>0</v>
      </c>
      <c r="M59" s="33">
        <f>L59*(1+BW59/100)</f>
        <v>0</v>
      </c>
      <c r="N59" s="33">
        <v>0</v>
      </c>
      <c r="O59" s="33">
        <f>G59*N59</f>
        <v>0</v>
      </c>
      <c r="P59" s="35" t="s">
        <v>64</v>
      </c>
      <c r="Z59" s="33">
        <f>IF(AQ59="5",BJ59,0)</f>
        <v>0</v>
      </c>
      <c r="AB59" s="33">
        <f>IF(AQ59="1",BH59,0)</f>
        <v>0</v>
      </c>
      <c r="AC59" s="33">
        <f>IF(AQ59="1",BI59,0)</f>
        <v>0</v>
      </c>
      <c r="AD59" s="33">
        <f>IF(AQ59="7",BH59,0)</f>
        <v>0</v>
      </c>
      <c r="AE59" s="33">
        <f>IF(AQ59="7",BI59,0)</f>
        <v>0</v>
      </c>
      <c r="AF59" s="33">
        <f>IF(AQ59="2",BH59,0)</f>
        <v>0</v>
      </c>
      <c r="AG59" s="33">
        <f>IF(AQ59="2",BI59,0)</f>
        <v>0</v>
      </c>
      <c r="AH59" s="33">
        <f>IF(AQ59="0",BJ59,0)</f>
        <v>0</v>
      </c>
      <c r="AI59" s="13" t="s">
        <v>56</v>
      </c>
      <c r="AJ59" s="33">
        <f>IF(AN59=0,L59,0)</f>
        <v>0</v>
      </c>
      <c r="AK59" s="33">
        <f>IF(AN59=12,L59,0)</f>
        <v>0</v>
      </c>
      <c r="AL59" s="33">
        <f>IF(AN59=21,L59,0)</f>
        <v>0</v>
      </c>
      <c r="AN59" s="33">
        <v>21</v>
      </c>
      <c r="AO59" s="33">
        <f>H59*0</f>
        <v>0</v>
      </c>
      <c r="AP59" s="33">
        <f>H59*(1-0)</f>
        <v>0</v>
      </c>
      <c r="AQ59" s="34" t="s">
        <v>59</v>
      </c>
      <c r="AV59" s="33">
        <f>AW59+AX59</f>
        <v>0</v>
      </c>
      <c r="AW59" s="33">
        <f>G59*AO59</f>
        <v>0</v>
      </c>
      <c r="AX59" s="33">
        <f>G59*AP59</f>
        <v>0</v>
      </c>
      <c r="AY59" s="34" t="s">
        <v>198</v>
      </c>
      <c r="AZ59" s="34" t="s">
        <v>199</v>
      </c>
      <c r="BA59" s="13" t="s">
        <v>66</v>
      </c>
      <c r="BC59" s="33">
        <f>AW59+AX59</f>
        <v>0</v>
      </c>
      <c r="BD59" s="33">
        <f>H59/(100-BE59)*100</f>
        <v>0</v>
      </c>
      <c r="BE59" s="33">
        <v>0</v>
      </c>
      <c r="BF59" s="33">
        <f>O59</f>
        <v>0</v>
      </c>
      <c r="BH59" s="33">
        <f>G59*AO59</f>
        <v>0</v>
      </c>
      <c r="BI59" s="33">
        <f>G59*AP59</f>
        <v>0</v>
      </c>
      <c r="BJ59" s="33">
        <f>G59*H59</f>
        <v>0</v>
      </c>
      <c r="BK59" s="33"/>
      <c r="BL59" s="33">
        <v>90</v>
      </c>
      <c r="BW59" s="33" t="str">
        <f>I59</f>
        <v>21</v>
      </c>
      <c r="BX59" s="5" t="s">
        <v>202</v>
      </c>
    </row>
    <row r="60" spans="1:76" ht="14.4" x14ac:dyDescent="0.3">
      <c r="A60" s="36" t="s">
        <v>56</v>
      </c>
      <c r="B60" s="37" t="s">
        <v>56</v>
      </c>
      <c r="C60" s="37" t="s">
        <v>205</v>
      </c>
      <c r="D60" s="125" t="s">
        <v>206</v>
      </c>
      <c r="E60" s="126"/>
      <c r="F60" s="39" t="s">
        <v>4</v>
      </c>
      <c r="G60" s="39" t="s">
        <v>4</v>
      </c>
      <c r="H60" s="39" t="s">
        <v>4</v>
      </c>
      <c r="I60" s="39" t="s">
        <v>4</v>
      </c>
      <c r="J60" s="1">
        <f>SUM(J61:J61)</f>
        <v>0</v>
      </c>
      <c r="K60" s="1">
        <f>SUM(K61:K61)</f>
        <v>0</v>
      </c>
      <c r="L60" s="1">
        <f>SUM(L61:L61)</f>
        <v>0</v>
      </c>
      <c r="M60" s="1">
        <f>SUM(M61:M61)</f>
        <v>0</v>
      </c>
      <c r="N60" s="13" t="s">
        <v>56</v>
      </c>
      <c r="O60" s="1">
        <f>SUM(O61:O61)</f>
        <v>0</v>
      </c>
      <c r="P60" s="40" t="s">
        <v>56</v>
      </c>
      <c r="AI60" s="13" t="s">
        <v>56</v>
      </c>
      <c r="AS60" s="1">
        <f>SUM(AJ61:AJ61)</f>
        <v>0</v>
      </c>
      <c r="AT60" s="1">
        <f>SUM(AK61:AK61)</f>
        <v>0</v>
      </c>
      <c r="AU60" s="1">
        <f>SUM(AL61:AL61)</f>
        <v>0</v>
      </c>
    </row>
    <row r="61" spans="1:76" ht="14.4" x14ac:dyDescent="0.3">
      <c r="A61" s="2" t="s">
        <v>207</v>
      </c>
      <c r="B61" s="3" t="s">
        <v>56</v>
      </c>
      <c r="C61" s="3" t="s">
        <v>208</v>
      </c>
      <c r="D61" s="106" t="s">
        <v>209</v>
      </c>
      <c r="E61" s="101"/>
      <c r="F61" s="3" t="s">
        <v>88</v>
      </c>
      <c r="G61" s="33">
        <v>1866</v>
      </c>
      <c r="H61" s="95"/>
      <c r="I61" s="34" t="s">
        <v>63</v>
      </c>
      <c r="J61" s="33">
        <f>G61*AO61</f>
        <v>0</v>
      </c>
      <c r="K61" s="33">
        <f>G61*AP61</f>
        <v>0</v>
      </c>
      <c r="L61" s="33">
        <f>G61*H61</f>
        <v>0</v>
      </c>
      <c r="M61" s="33">
        <f>L61*(1+BW61/100)</f>
        <v>0</v>
      </c>
      <c r="N61" s="33">
        <v>0</v>
      </c>
      <c r="O61" s="33">
        <f>G61*N61</f>
        <v>0</v>
      </c>
      <c r="P61" s="35" t="s">
        <v>81</v>
      </c>
      <c r="Z61" s="33">
        <f>IF(AQ61="5",BJ61,0)</f>
        <v>0</v>
      </c>
      <c r="AB61" s="33">
        <f>IF(AQ61="1",BH61,0)</f>
        <v>0</v>
      </c>
      <c r="AC61" s="33">
        <f>IF(AQ61="1",BI61,0)</f>
        <v>0</v>
      </c>
      <c r="AD61" s="33">
        <f>IF(AQ61="7",BH61,0)</f>
        <v>0</v>
      </c>
      <c r="AE61" s="33">
        <f>IF(AQ61="7",BI61,0)</f>
        <v>0</v>
      </c>
      <c r="AF61" s="33">
        <f>IF(AQ61="2",BH61,0)</f>
        <v>0</v>
      </c>
      <c r="AG61" s="33">
        <f>IF(AQ61="2",BI61,0)</f>
        <v>0</v>
      </c>
      <c r="AH61" s="33">
        <f>IF(AQ61="0",BJ61,0)</f>
        <v>0</v>
      </c>
      <c r="AI61" s="13" t="s">
        <v>56</v>
      </c>
      <c r="AJ61" s="33">
        <f>IF(AN61=0,L61,0)</f>
        <v>0</v>
      </c>
      <c r="AK61" s="33">
        <f>IF(AN61=12,L61,0)</f>
        <v>0</v>
      </c>
      <c r="AL61" s="33">
        <f>IF(AN61=21,L61,0)</f>
        <v>0</v>
      </c>
      <c r="AN61" s="33">
        <v>21</v>
      </c>
      <c r="AO61" s="33">
        <f>H61*0</f>
        <v>0</v>
      </c>
      <c r="AP61" s="33">
        <f>H61*(1-0)</f>
        <v>0</v>
      </c>
      <c r="AQ61" s="34" t="s">
        <v>59</v>
      </c>
      <c r="AV61" s="33">
        <f>AW61+AX61</f>
        <v>0</v>
      </c>
      <c r="AW61" s="33">
        <f>G61*AO61</f>
        <v>0</v>
      </c>
      <c r="AX61" s="33">
        <f>G61*AP61</f>
        <v>0</v>
      </c>
      <c r="AY61" s="34" t="s">
        <v>210</v>
      </c>
      <c r="AZ61" s="34" t="s">
        <v>199</v>
      </c>
      <c r="BA61" s="13" t="s">
        <v>66</v>
      </c>
      <c r="BC61" s="33">
        <f>AW61+AX61</f>
        <v>0</v>
      </c>
      <c r="BD61" s="33">
        <f>H61/(100-BE61)*100</f>
        <v>0</v>
      </c>
      <c r="BE61" s="33">
        <v>0</v>
      </c>
      <c r="BF61" s="33">
        <f>O61</f>
        <v>0</v>
      </c>
      <c r="BH61" s="33">
        <f>G61*AO61</f>
        <v>0</v>
      </c>
      <c r="BI61" s="33">
        <f>G61*AP61</f>
        <v>0</v>
      </c>
      <c r="BJ61" s="33">
        <f>G61*H61</f>
        <v>0</v>
      </c>
      <c r="BK61" s="33"/>
      <c r="BL61" s="33">
        <v>93</v>
      </c>
      <c r="BW61" s="33" t="str">
        <f>I61</f>
        <v>21</v>
      </c>
      <c r="BX61" s="5" t="s">
        <v>209</v>
      </c>
    </row>
    <row r="62" spans="1:76" ht="14.4" x14ac:dyDescent="0.3">
      <c r="A62" s="36" t="s">
        <v>56</v>
      </c>
      <c r="B62" s="37" t="s">
        <v>56</v>
      </c>
      <c r="C62" s="37" t="s">
        <v>211</v>
      </c>
      <c r="D62" s="125" t="s">
        <v>212</v>
      </c>
      <c r="E62" s="126"/>
      <c r="F62" s="39" t="s">
        <v>4</v>
      </c>
      <c r="G62" s="39" t="s">
        <v>4</v>
      </c>
      <c r="H62" s="39" t="s">
        <v>4</v>
      </c>
      <c r="I62" s="39" t="s">
        <v>4</v>
      </c>
      <c r="J62" s="1">
        <f>SUM(J63:J66)</f>
        <v>0</v>
      </c>
      <c r="K62" s="1">
        <f>SUM(K63:K66)</f>
        <v>0</v>
      </c>
      <c r="L62" s="1">
        <f>SUM(L63:L66)</f>
        <v>0</v>
      </c>
      <c r="M62" s="1">
        <f>SUM(M63:M66)</f>
        <v>0</v>
      </c>
      <c r="N62" s="13" t="s">
        <v>56</v>
      </c>
      <c r="O62" s="1">
        <f>SUM(O63:O66)</f>
        <v>22.204799999999999</v>
      </c>
      <c r="P62" s="40" t="s">
        <v>56</v>
      </c>
      <c r="AI62" s="13" t="s">
        <v>56</v>
      </c>
      <c r="AS62" s="1">
        <f>SUM(AJ63:AJ66)</f>
        <v>0</v>
      </c>
      <c r="AT62" s="1">
        <f>SUM(AK63:AK66)</f>
        <v>0</v>
      </c>
      <c r="AU62" s="1">
        <f>SUM(AL63:AL66)</f>
        <v>0</v>
      </c>
    </row>
    <row r="63" spans="1:76" ht="14.4" x14ac:dyDescent="0.3">
      <c r="A63" s="2" t="s">
        <v>213</v>
      </c>
      <c r="B63" s="3" t="s">
        <v>56</v>
      </c>
      <c r="C63" s="3" t="s">
        <v>214</v>
      </c>
      <c r="D63" s="106" t="s">
        <v>215</v>
      </c>
      <c r="E63" s="101"/>
      <c r="F63" s="3" t="s">
        <v>88</v>
      </c>
      <c r="G63" s="33">
        <v>960</v>
      </c>
      <c r="H63" s="95"/>
      <c r="I63" s="34" t="s">
        <v>63</v>
      </c>
      <c r="J63" s="33">
        <f>G63*AO63</f>
        <v>0</v>
      </c>
      <c r="K63" s="33">
        <f>G63*AP63</f>
        <v>0</v>
      </c>
      <c r="L63" s="33">
        <f>G63*H63</f>
        <v>0</v>
      </c>
      <c r="M63" s="33">
        <f>L63*(1+BW63/100)</f>
        <v>0</v>
      </c>
      <c r="N63" s="33">
        <v>1.8380000000000001E-2</v>
      </c>
      <c r="O63" s="33">
        <f>G63*N63</f>
        <v>17.6448</v>
      </c>
      <c r="P63" s="35" t="s">
        <v>81</v>
      </c>
      <c r="Z63" s="33">
        <f>IF(AQ63="5",BJ63,0)</f>
        <v>0</v>
      </c>
      <c r="AB63" s="33">
        <f>IF(AQ63="1",BH63,0)</f>
        <v>0</v>
      </c>
      <c r="AC63" s="33">
        <f>IF(AQ63="1",BI63,0)</f>
        <v>0</v>
      </c>
      <c r="AD63" s="33">
        <f>IF(AQ63="7",BH63,0)</f>
        <v>0</v>
      </c>
      <c r="AE63" s="33">
        <f>IF(AQ63="7",BI63,0)</f>
        <v>0</v>
      </c>
      <c r="AF63" s="33">
        <f>IF(AQ63="2",BH63,0)</f>
        <v>0</v>
      </c>
      <c r="AG63" s="33">
        <f>IF(AQ63="2",BI63,0)</f>
        <v>0</v>
      </c>
      <c r="AH63" s="33">
        <f>IF(AQ63="0",BJ63,0)</f>
        <v>0</v>
      </c>
      <c r="AI63" s="13" t="s">
        <v>56</v>
      </c>
      <c r="AJ63" s="33">
        <f>IF(AN63=0,L63,0)</f>
        <v>0</v>
      </c>
      <c r="AK63" s="33">
        <f>IF(AN63=12,L63,0)</f>
        <v>0</v>
      </c>
      <c r="AL63" s="33">
        <f>IF(AN63=21,L63,0)</f>
        <v>0</v>
      </c>
      <c r="AN63" s="33">
        <v>21</v>
      </c>
      <c r="AO63" s="33">
        <f>H63*0.000232019</f>
        <v>0</v>
      </c>
      <c r="AP63" s="33">
        <f>H63*(1-0.000232019)</f>
        <v>0</v>
      </c>
      <c r="AQ63" s="34" t="s">
        <v>59</v>
      </c>
      <c r="AV63" s="33">
        <f>AW63+AX63</f>
        <v>0</v>
      </c>
      <c r="AW63" s="33">
        <f>G63*AO63</f>
        <v>0</v>
      </c>
      <c r="AX63" s="33">
        <f>G63*AP63</f>
        <v>0</v>
      </c>
      <c r="AY63" s="34" t="s">
        <v>216</v>
      </c>
      <c r="AZ63" s="34" t="s">
        <v>199</v>
      </c>
      <c r="BA63" s="13" t="s">
        <v>66</v>
      </c>
      <c r="BC63" s="33">
        <f>AW63+AX63</f>
        <v>0</v>
      </c>
      <c r="BD63" s="33">
        <f>H63/(100-BE63)*100</f>
        <v>0</v>
      </c>
      <c r="BE63" s="33">
        <v>0</v>
      </c>
      <c r="BF63" s="33">
        <f>O63</f>
        <v>17.6448</v>
      </c>
      <c r="BH63" s="33">
        <f>G63*AO63</f>
        <v>0</v>
      </c>
      <c r="BI63" s="33">
        <f>G63*AP63</f>
        <v>0</v>
      </c>
      <c r="BJ63" s="33">
        <f>G63*H63</f>
        <v>0</v>
      </c>
      <c r="BK63" s="33"/>
      <c r="BL63" s="33">
        <v>94</v>
      </c>
      <c r="BW63" s="33" t="str">
        <f>I63</f>
        <v>21</v>
      </c>
      <c r="BX63" s="5" t="s">
        <v>215</v>
      </c>
    </row>
    <row r="64" spans="1:76" ht="14.4" x14ac:dyDescent="0.3">
      <c r="A64" s="2" t="s">
        <v>217</v>
      </c>
      <c r="B64" s="3" t="s">
        <v>56</v>
      </c>
      <c r="C64" s="3" t="s">
        <v>218</v>
      </c>
      <c r="D64" s="106" t="s">
        <v>219</v>
      </c>
      <c r="E64" s="101"/>
      <c r="F64" s="3" t="s">
        <v>88</v>
      </c>
      <c r="G64" s="33">
        <v>4800</v>
      </c>
      <c r="H64" s="95"/>
      <c r="I64" s="34" t="s">
        <v>63</v>
      </c>
      <c r="J64" s="33">
        <f>G64*AO64</f>
        <v>0</v>
      </c>
      <c r="K64" s="33">
        <f>G64*AP64</f>
        <v>0</v>
      </c>
      <c r="L64" s="33">
        <f>G64*H64</f>
        <v>0</v>
      </c>
      <c r="M64" s="33">
        <f>L64*(1+BW64/100)</f>
        <v>0</v>
      </c>
      <c r="N64" s="33">
        <v>9.5E-4</v>
      </c>
      <c r="O64" s="33">
        <f>G64*N64</f>
        <v>4.5599999999999996</v>
      </c>
      <c r="P64" s="35" t="s">
        <v>81</v>
      </c>
      <c r="Z64" s="33">
        <f>IF(AQ64="5",BJ64,0)</f>
        <v>0</v>
      </c>
      <c r="AB64" s="33">
        <f>IF(AQ64="1",BH64,0)</f>
        <v>0</v>
      </c>
      <c r="AC64" s="33">
        <f>IF(AQ64="1",BI64,0)</f>
        <v>0</v>
      </c>
      <c r="AD64" s="33">
        <f>IF(AQ64="7",BH64,0)</f>
        <v>0</v>
      </c>
      <c r="AE64" s="33">
        <f>IF(AQ64="7",BI64,0)</f>
        <v>0</v>
      </c>
      <c r="AF64" s="33">
        <f>IF(AQ64="2",BH64,0)</f>
        <v>0</v>
      </c>
      <c r="AG64" s="33">
        <f>IF(AQ64="2",BI64,0)</f>
        <v>0</v>
      </c>
      <c r="AH64" s="33">
        <f>IF(AQ64="0",BJ64,0)</f>
        <v>0</v>
      </c>
      <c r="AI64" s="13" t="s">
        <v>56</v>
      </c>
      <c r="AJ64" s="33">
        <f>IF(AN64=0,L64,0)</f>
        <v>0</v>
      </c>
      <c r="AK64" s="33">
        <f>IF(AN64=12,L64,0)</f>
        <v>0</v>
      </c>
      <c r="AL64" s="33">
        <f>IF(AN64=21,L64,0)</f>
        <v>0</v>
      </c>
      <c r="AN64" s="33">
        <v>21</v>
      </c>
      <c r="AO64" s="33">
        <f>H64*0.936815068</f>
        <v>0</v>
      </c>
      <c r="AP64" s="33">
        <f>H64*(1-0.936815068)</f>
        <v>0</v>
      </c>
      <c r="AQ64" s="34" t="s">
        <v>59</v>
      </c>
      <c r="AV64" s="33">
        <f>AW64+AX64</f>
        <v>0</v>
      </c>
      <c r="AW64" s="33">
        <f>G64*AO64</f>
        <v>0</v>
      </c>
      <c r="AX64" s="33">
        <f>G64*AP64</f>
        <v>0</v>
      </c>
      <c r="AY64" s="34" t="s">
        <v>216</v>
      </c>
      <c r="AZ64" s="34" t="s">
        <v>199</v>
      </c>
      <c r="BA64" s="13" t="s">
        <v>66</v>
      </c>
      <c r="BC64" s="33">
        <f>AW64+AX64</f>
        <v>0</v>
      </c>
      <c r="BD64" s="33">
        <f>H64/(100-BE64)*100</f>
        <v>0</v>
      </c>
      <c r="BE64" s="33">
        <v>0</v>
      </c>
      <c r="BF64" s="33">
        <f>O64</f>
        <v>4.5599999999999996</v>
      </c>
      <c r="BH64" s="33">
        <f>G64*AO64</f>
        <v>0</v>
      </c>
      <c r="BI64" s="33">
        <f>G64*AP64</f>
        <v>0</v>
      </c>
      <c r="BJ64" s="33">
        <f>G64*H64</f>
        <v>0</v>
      </c>
      <c r="BK64" s="33"/>
      <c r="BL64" s="33">
        <v>94</v>
      </c>
      <c r="BW64" s="33" t="str">
        <f>I64</f>
        <v>21</v>
      </c>
      <c r="BX64" s="5" t="s">
        <v>219</v>
      </c>
    </row>
    <row r="65" spans="1:76" ht="14.4" x14ac:dyDescent="0.3">
      <c r="A65" s="2" t="s">
        <v>220</v>
      </c>
      <c r="B65" s="3" t="s">
        <v>56</v>
      </c>
      <c r="C65" s="3" t="s">
        <v>221</v>
      </c>
      <c r="D65" s="106" t="s">
        <v>222</v>
      </c>
      <c r="E65" s="101"/>
      <c r="F65" s="3" t="s">
        <v>88</v>
      </c>
      <c r="G65" s="33">
        <v>960</v>
      </c>
      <c r="H65" s="95"/>
      <c r="I65" s="34" t="s">
        <v>63</v>
      </c>
      <c r="J65" s="33">
        <f>G65*AO65</f>
        <v>0</v>
      </c>
      <c r="K65" s="33">
        <f>G65*AP65</f>
        <v>0</v>
      </c>
      <c r="L65" s="33">
        <f>G65*H65</f>
        <v>0</v>
      </c>
      <c r="M65" s="33">
        <f>L65*(1+BW65/100)</f>
        <v>0</v>
      </c>
      <c r="N65" s="33">
        <v>0</v>
      </c>
      <c r="O65" s="33">
        <f>G65*N65</f>
        <v>0</v>
      </c>
      <c r="P65" s="35" t="s">
        <v>81</v>
      </c>
      <c r="Z65" s="33">
        <f>IF(AQ65="5",BJ65,0)</f>
        <v>0</v>
      </c>
      <c r="AB65" s="33">
        <f>IF(AQ65="1",BH65,0)</f>
        <v>0</v>
      </c>
      <c r="AC65" s="33">
        <f>IF(AQ65="1",BI65,0)</f>
        <v>0</v>
      </c>
      <c r="AD65" s="33">
        <f>IF(AQ65="7",BH65,0)</f>
        <v>0</v>
      </c>
      <c r="AE65" s="33">
        <f>IF(AQ65="7",BI65,0)</f>
        <v>0</v>
      </c>
      <c r="AF65" s="33">
        <f>IF(AQ65="2",BH65,0)</f>
        <v>0</v>
      </c>
      <c r="AG65" s="33">
        <f>IF(AQ65="2",BI65,0)</f>
        <v>0</v>
      </c>
      <c r="AH65" s="33">
        <f>IF(AQ65="0",BJ65,0)</f>
        <v>0</v>
      </c>
      <c r="AI65" s="13" t="s">
        <v>56</v>
      </c>
      <c r="AJ65" s="33">
        <f>IF(AN65=0,L65,0)</f>
        <v>0</v>
      </c>
      <c r="AK65" s="33">
        <f>IF(AN65=12,L65,0)</f>
        <v>0</v>
      </c>
      <c r="AL65" s="33">
        <f>IF(AN65=21,L65,0)</f>
        <v>0</v>
      </c>
      <c r="AN65" s="33">
        <v>21</v>
      </c>
      <c r="AO65" s="33">
        <f>H65*0</f>
        <v>0</v>
      </c>
      <c r="AP65" s="33">
        <f>H65*(1-0)</f>
        <v>0</v>
      </c>
      <c r="AQ65" s="34" t="s">
        <v>59</v>
      </c>
      <c r="AV65" s="33">
        <f>AW65+AX65</f>
        <v>0</v>
      </c>
      <c r="AW65" s="33">
        <f>G65*AO65</f>
        <v>0</v>
      </c>
      <c r="AX65" s="33">
        <f>G65*AP65</f>
        <v>0</v>
      </c>
      <c r="AY65" s="34" t="s">
        <v>216</v>
      </c>
      <c r="AZ65" s="34" t="s">
        <v>199</v>
      </c>
      <c r="BA65" s="13" t="s">
        <v>66</v>
      </c>
      <c r="BC65" s="33">
        <f>AW65+AX65</f>
        <v>0</v>
      </c>
      <c r="BD65" s="33">
        <f>H65/(100-BE65)*100</f>
        <v>0</v>
      </c>
      <c r="BE65" s="33">
        <v>0</v>
      </c>
      <c r="BF65" s="33">
        <f>O65</f>
        <v>0</v>
      </c>
      <c r="BH65" s="33">
        <f>G65*AO65</f>
        <v>0</v>
      </c>
      <c r="BI65" s="33">
        <f>G65*AP65</f>
        <v>0</v>
      </c>
      <c r="BJ65" s="33">
        <f>G65*H65</f>
        <v>0</v>
      </c>
      <c r="BK65" s="33"/>
      <c r="BL65" s="33">
        <v>94</v>
      </c>
      <c r="BW65" s="33" t="str">
        <f>I65</f>
        <v>21</v>
      </c>
      <c r="BX65" s="5" t="s">
        <v>222</v>
      </c>
    </row>
    <row r="66" spans="1:76" ht="14.4" x14ac:dyDescent="0.3">
      <c r="A66" s="2" t="s">
        <v>223</v>
      </c>
      <c r="B66" s="3" t="s">
        <v>56</v>
      </c>
      <c r="C66" s="3" t="s">
        <v>224</v>
      </c>
      <c r="D66" s="106" t="s">
        <v>225</v>
      </c>
      <c r="E66" s="101"/>
      <c r="F66" s="3" t="s">
        <v>119</v>
      </c>
      <c r="G66" s="33">
        <v>22.204799999999999</v>
      </c>
      <c r="H66" s="95"/>
      <c r="I66" s="34" t="s">
        <v>63</v>
      </c>
      <c r="J66" s="33">
        <f>G66*AO66</f>
        <v>0</v>
      </c>
      <c r="K66" s="33">
        <f>G66*AP66</f>
        <v>0</v>
      </c>
      <c r="L66" s="33">
        <f>G66*H66</f>
        <v>0</v>
      </c>
      <c r="M66" s="33">
        <f>L66*(1+BW66/100)</f>
        <v>0</v>
      </c>
      <c r="N66" s="33">
        <v>0</v>
      </c>
      <c r="O66" s="33">
        <f>G66*N66</f>
        <v>0</v>
      </c>
      <c r="P66" s="35" t="s">
        <v>81</v>
      </c>
      <c r="Z66" s="33">
        <f>IF(AQ66="5",BJ66,0)</f>
        <v>0</v>
      </c>
      <c r="AB66" s="33">
        <f>IF(AQ66="1",BH66,0)</f>
        <v>0</v>
      </c>
      <c r="AC66" s="33">
        <f>IF(AQ66="1",BI66,0)</f>
        <v>0</v>
      </c>
      <c r="AD66" s="33">
        <f>IF(AQ66="7",BH66,0)</f>
        <v>0</v>
      </c>
      <c r="AE66" s="33">
        <f>IF(AQ66="7",BI66,0)</f>
        <v>0</v>
      </c>
      <c r="AF66" s="33">
        <f>IF(AQ66="2",BH66,0)</f>
        <v>0</v>
      </c>
      <c r="AG66" s="33">
        <f>IF(AQ66="2",BI66,0)</f>
        <v>0</v>
      </c>
      <c r="AH66" s="33">
        <f>IF(AQ66="0",BJ66,0)</f>
        <v>0</v>
      </c>
      <c r="AI66" s="13" t="s">
        <v>56</v>
      </c>
      <c r="AJ66" s="33">
        <f>IF(AN66=0,L66,0)</f>
        <v>0</v>
      </c>
      <c r="AK66" s="33">
        <f>IF(AN66=12,L66,0)</f>
        <v>0</v>
      </c>
      <c r="AL66" s="33">
        <f>IF(AN66=21,L66,0)</f>
        <v>0</v>
      </c>
      <c r="AN66" s="33">
        <v>21</v>
      </c>
      <c r="AO66" s="33">
        <f>H66*0</f>
        <v>0</v>
      </c>
      <c r="AP66" s="33">
        <f>H66*(1-0)</f>
        <v>0</v>
      </c>
      <c r="AQ66" s="34" t="s">
        <v>74</v>
      </c>
      <c r="AV66" s="33">
        <f>AW66+AX66</f>
        <v>0</v>
      </c>
      <c r="AW66" s="33">
        <f>G66*AO66</f>
        <v>0</v>
      </c>
      <c r="AX66" s="33">
        <f>G66*AP66</f>
        <v>0</v>
      </c>
      <c r="AY66" s="34" t="s">
        <v>216</v>
      </c>
      <c r="AZ66" s="34" t="s">
        <v>199</v>
      </c>
      <c r="BA66" s="13" t="s">
        <v>66</v>
      </c>
      <c r="BC66" s="33">
        <f>AW66+AX66</f>
        <v>0</v>
      </c>
      <c r="BD66" s="33">
        <f>H66/(100-BE66)*100</f>
        <v>0</v>
      </c>
      <c r="BE66" s="33">
        <v>0</v>
      </c>
      <c r="BF66" s="33">
        <f>O66</f>
        <v>0</v>
      </c>
      <c r="BH66" s="33">
        <f>G66*AO66</f>
        <v>0</v>
      </c>
      <c r="BI66" s="33">
        <f>G66*AP66</f>
        <v>0</v>
      </c>
      <c r="BJ66" s="33">
        <f>G66*H66</f>
        <v>0</v>
      </c>
      <c r="BK66" s="33"/>
      <c r="BL66" s="33">
        <v>94</v>
      </c>
      <c r="BW66" s="33" t="str">
        <f>I66</f>
        <v>21</v>
      </c>
      <c r="BX66" s="5" t="s">
        <v>225</v>
      </c>
    </row>
    <row r="67" spans="1:76" ht="14.4" x14ac:dyDescent="0.3">
      <c r="A67" s="36" t="s">
        <v>56</v>
      </c>
      <c r="B67" s="37" t="s">
        <v>56</v>
      </c>
      <c r="C67" s="37" t="s">
        <v>226</v>
      </c>
      <c r="D67" s="125" t="s">
        <v>227</v>
      </c>
      <c r="E67" s="126"/>
      <c r="F67" s="39" t="s">
        <v>4</v>
      </c>
      <c r="G67" s="39" t="s">
        <v>4</v>
      </c>
      <c r="H67" s="39" t="s">
        <v>4</v>
      </c>
      <c r="I67" s="39" t="s">
        <v>4</v>
      </c>
      <c r="J67" s="1">
        <f>SUM(J68:J75)</f>
        <v>0</v>
      </c>
      <c r="K67" s="1">
        <f>SUM(K68:K75)</f>
        <v>0</v>
      </c>
      <c r="L67" s="1">
        <f>SUM(L68:L75)</f>
        <v>0</v>
      </c>
      <c r="M67" s="1">
        <f>SUM(M68:M75)</f>
        <v>0</v>
      </c>
      <c r="N67" s="13" t="s">
        <v>56</v>
      </c>
      <c r="O67" s="1">
        <f>SUM(O68:O75)</f>
        <v>7.7054000000000011E-2</v>
      </c>
      <c r="P67" s="40" t="s">
        <v>56</v>
      </c>
      <c r="AI67" s="13" t="s">
        <v>56</v>
      </c>
      <c r="AS67" s="1">
        <f>SUM(AJ68:AJ75)</f>
        <v>0</v>
      </c>
      <c r="AT67" s="1">
        <f>SUM(AK68:AK75)</f>
        <v>0</v>
      </c>
      <c r="AU67" s="1">
        <f>SUM(AL68:AL75)</f>
        <v>0</v>
      </c>
    </row>
    <row r="68" spans="1:76" ht="14.4" x14ac:dyDescent="0.3">
      <c r="A68" s="2" t="s">
        <v>228</v>
      </c>
      <c r="B68" s="3" t="s">
        <v>56</v>
      </c>
      <c r="C68" s="3" t="s">
        <v>229</v>
      </c>
      <c r="D68" s="106" t="s">
        <v>230</v>
      </c>
      <c r="E68" s="101"/>
      <c r="F68" s="3" t="s">
        <v>125</v>
      </c>
      <c r="G68" s="33">
        <v>60</v>
      </c>
      <c r="H68" s="95"/>
      <c r="I68" s="34" t="s">
        <v>63</v>
      </c>
      <c r="J68" s="33">
        <f t="shared" ref="J68:J75" si="52">G68*AO68</f>
        <v>0</v>
      </c>
      <c r="K68" s="33">
        <f t="shared" ref="K68:K75" si="53">G68*AP68</f>
        <v>0</v>
      </c>
      <c r="L68" s="33">
        <f t="shared" ref="L68:L75" si="54">G68*H68</f>
        <v>0</v>
      </c>
      <c r="M68" s="33">
        <f t="shared" ref="M68:M75" si="55">L68*(1+BW68/100)</f>
        <v>0</v>
      </c>
      <c r="N68" s="33">
        <v>9.8999999999999999E-4</v>
      </c>
      <c r="O68" s="33">
        <f t="shared" ref="O68:O75" si="56">G68*N68</f>
        <v>5.9400000000000001E-2</v>
      </c>
      <c r="P68" s="35" t="s">
        <v>64</v>
      </c>
      <c r="Z68" s="33">
        <f t="shared" ref="Z68:Z75" si="57">IF(AQ68="5",BJ68,0)</f>
        <v>0</v>
      </c>
      <c r="AB68" s="33">
        <f t="shared" ref="AB68:AB75" si="58">IF(AQ68="1",BH68,0)</f>
        <v>0</v>
      </c>
      <c r="AC68" s="33">
        <f t="shared" ref="AC68:AC75" si="59">IF(AQ68="1",BI68,0)</f>
        <v>0</v>
      </c>
      <c r="AD68" s="33">
        <f t="shared" ref="AD68:AD75" si="60">IF(AQ68="7",BH68,0)</f>
        <v>0</v>
      </c>
      <c r="AE68" s="33">
        <f t="shared" ref="AE68:AE75" si="61">IF(AQ68="7",BI68,0)</f>
        <v>0</v>
      </c>
      <c r="AF68" s="33">
        <f t="shared" ref="AF68:AF75" si="62">IF(AQ68="2",BH68,0)</f>
        <v>0</v>
      </c>
      <c r="AG68" s="33">
        <f t="shared" ref="AG68:AG75" si="63">IF(AQ68="2",BI68,0)</f>
        <v>0</v>
      </c>
      <c r="AH68" s="33">
        <f t="shared" ref="AH68:AH75" si="64">IF(AQ68="0",BJ68,0)</f>
        <v>0</v>
      </c>
      <c r="AI68" s="13" t="s">
        <v>56</v>
      </c>
      <c r="AJ68" s="33">
        <f t="shared" ref="AJ68:AJ75" si="65">IF(AN68=0,L68,0)</f>
        <v>0</v>
      </c>
      <c r="AK68" s="33">
        <f t="shared" ref="AK68:AK75" si="66">IF(AN68=12,L68,0)</f>
        <v>0</v>
      </c>
      <c r="AL68" s="33">
        <f t="shared" ref="AL68:AL75" si="67">IF(AN68=21,L68,0)</f>
        <v>0</v>
      </c>
      <c r="AN68" s="33">
        <v>21</v>
      </c>
      <c r="AO68" s="33">
        <f>H68*0.389200806</f>
        <v>0</v>
      </c>
      <c r="AP68" s="33">
        <f>H68*(1-0.389200806)</f>
        <v>0</v>
      </c>
      <c r="AQ68" s="34" t="s">
        <v>67</v>
      </c>
      <c r="AV68" s="33">
        <f t="shared" ref="AV68:AV75" si="68">AW68+AX68</f>
        <v>0</v>
      </c>
      <c r="AW68" s="33">
        <f t="shared" ref="AW68:AW75" si="69">G68*AO68</f>
        <v>0</v>
      </c>
      <c r="AX68" s="33">
        <f t="shared" ref="AX68:AX75" si="70">G68*AP68</f>
        <v>0</v>
      </c>
      <c r="AY68" s="34" t="s">
        <v>231</v>
      </c>
      <c r="AZ68" s="34" t="s">
        <v>199</v>
      </c>
      <c r="BA68" s="13" t="s">
        <v>66</v>
      </c>
      <c r="BC68" s="33">
        <f t="shared" ref="BC68:BC75" si="71">AW68+AX68</f>
        <v>0</v>
      </c>
      <c r="BD68" s="33">
        <f t="shared" ref="BD68:BD75" si="72">H68/(100-BE68)*100</f>
        <v>0</v>
      </c>
      <c r="BE68" s="33">
        <v>0</v>
      </c>
      <c r="BF68" s="33">
        <f t="shared" ref="BF68:BF75" si="73">O68</f>
        <v>5.9400000000000001E-2</v>
      </c>
      <c r="BH68" s="33">
        <f t="shared" ref="BH68:BH75" si="74">G68*AO68</f>
        <v>0</v>
      </c>
      <c r="BI68" s="33">
        <f t="shared" ref="BI68:BI75" si="75">G68*AP68</f>
        <v>0</v>
      </c>
      <c r="BJ68" s="33">
        <f t="shared" ref="BJ68:BJ75" si="76">G68*H68</f>
        <v>0</v>
      </c>
      <c r="BK68" s="33"/>
      <c r="BL68" s="33"/>
      <c r="BW68" s="33" t="str">
        <f t="shared" ref="BW68:BW75" si="77">I68</f>
        <v>21</v>
      </c>
      <c r="BX68" s="5" t="s">
        <v>230</v>
      </c>
    </row>
    <row r="69" spans="1:76" ht="14.4" x14ac:dyDescent="0.3">
      <c r="A69" s="2" t="s">
        <v>232</v>
      </c>
      <c r="B69" s="3" t="s">
        <v>56</v>
      </c>
      <c r="C69" s="3" t="s">
        <v>233</v>
      </c>
      <c r="D69" s="106" t="s">
        <v>234</v>
      </c>
      <c r="E69" s="101"/>
      <c r="F69" s="3" t="s">
        <v>139</v>
      </c>
      <c r="G69" s="33">
        <v>2</v>
      </c>
      <c r="H69" s="95"/>
      <c r="I69" s="34" t="s">
        <v>63</v>
      </c>
      <c r="J69" s="33">
        <f t="shared" si="52"/>
        <v>0</v>
      </c>
      <c r="K69" s="33">
        <f t="shared" si="53"/>
        <v>0</v>
      </c>
      <c r="L69" s="33">
        <f t="shared" si="54"/>
        <v>0</v>
      </c>
      <c r="M69" s="33">
        <f t="shared" si="55"/>
        <v>0</v>
      </c>
      <c r="N69" s="33">
        <v>0</v>
      </c>
      <c r="O69" s="33">
        <f t="shared" si="56"/>
        <v>0</v>
      </c>
      <c r="P69" s="35" t="s">
        <v>64</v>
      </c>
      <c r="Z69" s="33">
        <f t="shared" si="57"/>
        <v>0</v>
      </c>
      <c r="AB69" s="33">
        <f t="shared" si="58"/>
        <v>0</v>
      </c>
      <c r="AC69" s="33">
        <f t="shared" si="59"/>
        <v>0</v>
      </c>
      <c r="AD69" s="33">
        <f t="shared" si="60"/>
        <v>0</v>
      </c>
      <c r="AE69" s="33">
        <f t="shared" si="61"/>
        <v>0</v>
      </c>
      <c r="AF69" s="33">
        <f t="shared" si="62"/>
        <v>0</v>
      </c>
      <c r="AG69" s="33">
        <f t="shared" si="63"/>
        <v>0</v>
      </c>
      <c r="AH69" s="33">
        <f t="shared" si="64"/>
        <v>0</v>
      </c>
      <c r="AI69" s="13" t="s">
        <v>56</v>
      </c>
      <c r="AJ69" s="33">
        <f t="shared" si="65"/>
        <v>0</v>
      </c>
      <c r="AK69" s="33">
        <f t="shared" si="66"/>
        <v>0</v>
      </c>
      <c r="AL69" s="33">
        <f t="shared" si="67"/>
        <v>0</v>
      </c>
      <c r="AN69" s="33">
        <v>21</v>
      </c>
      <c r="AO69" s="33">
        <f>H69*0</f>
        <v>0</v>
      </c>
      <c r="AP69" s="33">
        <f>H69*(1-0)</f>
        <v>0</v>
      </c>
      <c r="AQ69" s="34" t="s">
        <v>67</v>
      </c>
      <c r="AV69" s="33">
        <f t="shared" si="68"/>
        <v>0</v>
      </c>
      <c r="AW69" s="33">
        <f t="shared" si="69"/>
        <v>0</v>
      </c>
      <c r="AX69" s="33">
        <f t="shared" si="70"/>
        <v>0</v>
      </c>
      <c r="AY69" s="34" t="s">
        <v>231</v>
      </c>
      <c r="AZ69" s="34" t="s">
        <v>199</v>
      </c>
      <c r="BA69" s="13" t="s">
        <v>66</v>
      </c>
      <c r="BC69" s="33">
        <f t="shared" si="71"/>
        <v>0</v>
      </c>
      <c r="BD69" s="33">
        <f t="shared" si="72"/>
        <v>0</v>
      </c>
      <c r="BE69" s="33">
        <v>0</v>
      </c>
      <c r="BF69" s="33">
        <f t="shared" si="73"/>
        <v>0</v>
      </c>
      <c r="BH69" s="33">
        <f t="shared" si="74"/>
        <v>0</v>
      </c>
      <c r="BI69" s="33">
        <f t="shared" si="75"/>
        <v>0</v>
      </c>
      <c r="BJ69" s="33">
        <f t="shared" si="76"/>
        <v>0</v>
      </c>
      <c r="BK69" s="33"/>
      <c r="BL69" s="33"/>
      <c r="BW69" s="33" t="str">
        <f t="shared" si="77"/>
        <v>21</v>
      </c>
      <c r="BX69" s="5" t="s">
        <v>234</v>
      </c>
    </row>
    <row r="70" spans="1:76" ht="14.4" x14ac:dyDescent="0.3">
      <c r="A70" s="2" t="s">
        <v>235</v>
      </c>
      <c r="B70" s="3" t="s">
        <v>56</v>
      </c>
      <c r="C70" s="3" t="s">
        <v>236</v>
      </c>
      <c r="D70" s="106" t="s">
        <v>237</v>
      </c>
      <c r="E70" s="101"/>
      <c r="F70" s="3" t="s">
        <v>139</v>
      </c>
      <c r="G70" s="33">
        <v>2</v>
      </c>
      <c r="H70" s="95"/>
      <c r="I70" s="34" t="s">
        <v>63</v>
      </c>
      <c r="J70" s="33">
        <f t="shared" si="52"/>
        <v>0</v>
      </c>
      <c r="K70" s="33">
        <f t="shared" si="53"/>
        <v>0</v>
      </c>
      <c r="L70" s="33">
        <f t="shared" si="54"/>
        <v>0</v>
      </c>
      <c r="M70" s="33">
        <f t="shared" si="55"/>
        <v>0</v>
      </c>
      <c r="N70" s="33">
        <v>1.1E-4</v>
      </c>
      <c r="O70" s="33">
        <f t="shared" si="56"/>
        <v>2.2000000000000001E-4</v>
      </c>
      <c r="P70" s="35" t="s">
        <v>64</v>
      </c>
      <c r="Z70" s="33">
        <f t="shared" si="57"/>
        <v>0</v>
      </c>
      <c r="AB70" s="33">
        <f t="shared" si="58"/>
        <v>0</v>
      </c>
      <c r="AC70" s="33">
        <f t="shared" si="59"/>
        <v>0</v>
      </c>
      <c r="AD70" s="33">
        <f t="shared" si="60"/>
        <v>0</v>
      </c>
      <c r="AE70" s="33">
        <f t="shared" si="61"/>
        <v>0</v>
      </c>
      <c r="AF70" s="33">
        <f t="shared" si="62"/>
        <v>0</v>
      </c>
      <c r="AG70" s="33">
        <f t="shared" si="63"/>
        <v>0</v>
      </c>
      <c r="AH70" s="33">
        <f t="shared" si="64"/>
        <v>0</v>
      </c>
      <c r="AI70" s="13" t="s">
        <v>56</v>
      </c>
      <c r="AJ70" s="33">
        <f t="shared" si="65"/>
        <v>0</v>
      </c>
      <c r="AK70" s="33">
        <f t="shared" si="66"/>
        <v>0</v>
      </c>
      <c r="AL70" s="33">
        <f t="shared" si="67"/>
        <v>0</v>
      </c>
      <c r="AN70" s="33">
        <v>21</v>
      </c>
      <c r="AO70" s="33">
        <f>H70*0.101268657</f>
        <v>0</v>
      </c>
      <c r="AP70" s="33">
        <f>H70*(1-0.101268657)</f>
        <v>0</v>
      </c>
      <c r="AQ70" s="34" t="s">
        <v>67</v>
      </c>
      <c r="AV70" s="33">
        <f t="shared" si="68"/>
        <v>0</v>
      </c>
      <c r="AW70" s="33">
        <f t="shared" si="69"/>
        <v>0</v>
      </c>
      <c r="AX70" s="33">
        <f t="shared" si="70"/>
        <v>0</v>
      </c>
      <c r="AY70" s="34" t="s">
        <v>231</v>
      </c>
      <c r="AZ70" s="34" t="s">
        <v>199</v>
      </c>
      <c r="BA70" s="13" t="s">
        <v>66</v>
      </c>
      <c r="BC70" s="33">
        <f t="shared" si="71"/>
        <v>0</v>
      </c>
      <c r="BD70" s="33">
        <f t="shared" si="72"/>
        <v>0</v>
      </c>
      <c r="BE70" s="33">
        <v>0</v>
      </c>
      <c r="BF70" s="33">
        <f t="shared" si="73"/>
        <v>2.2000000000000001E-4</v>
      </c>
      <c r="BH70" s="33">
        <f t="shared" si="74"/>
        <v>0</v>
      </c>
      <c r="BI70" s="33">
        <f t="shared" si="75"/>
        <v>0</v>
      </c>
      <c r="BJ70" s="33">
        <f t="shared" si="76"/>
        <v>0</v>
      </c>
      <c r="BK70" s="33"/>
      <c r="BL70" s="33"/>
      <c r="BW70" s="33" t="str">
        <f t="shared" si="77"/>
        <v>21</v>
      </c>
      <c r="BX70" s="5" t="s">
        <v>237</v>
      </c>
    </row>
    <row r="71" spans="1:76" ht="14.4" x14ac:dyDescent="0.3">
      <c r="A71" s="2" t="s">
        <v>238</v>
      </c>
      <c r="B71" s="3" t="s">
        <v>56</v>
      </c>
      <c r="C71" s="3" t="s">
        <v>239</v>
      </c>
      <c r="D71" s="106" t="s">
        <v>240</v>
      </c>
      <c r="E71" s="101"/>
      <c r="F71" s="3" t="s">
        <v>139</v>
      </c>
      <c r="G71" s="33">
        <v>2</v>
      </c>
      <c r="H71" s="95"/>
      <c r="I71" s="34" t="s">
        <v>63</v>
      </c>
      <c r="J71" s="33">
        <f t="shared" si="52"/>
        <v>0</v>
      </c>
      <c r="K71" s="33">
        <f t="shared" si="53"/>
        <v>0</v>
      </c>
      <c r="L71" s="33">
        <f t="shared" si="54"/>
        <v>0</v>
      </c>
      <c r="M71" s="33">
        <f t="shared" si="55"/>
        <v>0</v>
      </c>
      <c r="N71" s="33">
        <v>3.64E-3</v>
      </c>
      <c r="O71" s="33">
        <f t="shared" si="56"/>
        <v>7.28E-3</v>
      </c>
      <c r="P71" s="35" t="s">
        <v>64</v>
      </c>
      <c r="Z71" s="33">
        <f t="shared" si="57"/>
        <v>0</v>
      </c>
      <c r="AB71" s="33">
        <f t="shared" si="58"/>
        <v>0</v>
      </c>
      <c r="AC71" s="33">
        <f t="shared" si="59"/>
        <v>0</v>
      </c>
      <c r="AD71" s="33">
        <f t="shared" si="60"/>
        <v>0</v>
      </c>
      <c r="AE71" s="33">
        <f t="shared" si="61"/>
        <v>0</v>
      </c>
      <c r="AF71" s="33">
        <f t="shared" si="62"/>
        <v>0</v>
      </c>
      <c r="AG71" s="33">
        <f t="shared" si="63"/>
        <v>0</v>
      </c>
      <c r="AH71" s="33">
        <f t="shared" si="64"/>
        <v>0</v>
      </c>
      <c r="AI71" s="13" t="s">
        <v>56</v>
      </c>
      <c r="AJ71" s="33">
        <f t="shared" si="65"/>
        <v>0</v>
      </c>
      <c r="AK71" s="33">
        <f t="shared" si="66"/>
        <v>0</v>
      </c>
      <c r="AL71" s="33">
        <f t="shared" si="67"/>
        <v>0</v>
      </c>
      <c r="AN71" s="33">
        <v>21</v>
      </c>
      <c r="AO71" s="33">
        <f>H71*0.397335203</f>
        <v>0</v>
      </c>
      <c r="AP71" s="33">
        <f>H71*(1-0.397335203)</f>
        <v>0</v>
      </c>
      <c r="AQ71" s="34" t="s">
        <v>67</v>
      </c>
      <c r="AV71" s="33">
        <f t="shared" si="68"/>
        <v>0</v>
      </c>
      <c r="AW71" s="33">
        <f t="shared" si="69"/>
        <v>0</v>
      </c>
      <c r="AX71" s="33">
        <f t="shared" si="70"/>
        <v>0</v>
      </c>
      <c r="AY71" s="34" t="s">
        <v>231</v>
      </c>
      <c r="AZ71" s="34" t="s">
        <v>199</v>
      </c>
      <c r="BA71" s="13" t="s">
        <v>66</v>
      </c>
      <c r="BC71" s="33">
        <f t="shared" si="71"/>
        <v>0</v>
      </c>
      <c r="BD71" s="33">
        <f t="shared" si="72"/>
        <v>0</v>
      </c>
      <c r="BE71" s="33">
        <v>0</v>
      </c>
      <c r="BF71" s="33">
        <f t="shared" si="73"/>
        <v>7.28E-3</v>
      </c>
      <c r="BH71" s="33">
        <f t="shared" si="74"/>
        <v>0</v>
      </c>
      <c r="BI71" s="33">
        <f t="shared" si="75"/>
        <v>0</v>
      </c>
      <c r="BJ71" s="33">
        <f t="shared" si="76"/>
        <v>0</v>
      </c>
      <c r="BK71" s="33"/>
      <c r="BL71" s="33"/>
      <c r="BW71" s="33" t="str">
        <f t="shared" si="77"/>
        <v>21</v>
      </c>
      <c r="BX71" s="5" t="s">
        <v>240</v>
      </c>
    </row>
    <row r="72" spans="1:76" ht="14.4" x14ac:dyDescent="0.3">
      <c r="A72" s="2" t="s">
        <v>241</v>
      </c>
      <c r="B72" s="3" t="s">
        <v>56</v>
      </c>
      <c r="C72" s="3" t="s">
        <v>242</v>
      </c>
      <c r="D72" s="106" t="s">
        <v>243</v>
      </c>
      <c r="E72" s="101"/>
      <c r="F72" s="3" t="s">
        <v>139</v>
      </c>
      <c r="G72" s="33">
        <v>2</v>
      </c>
      <c r="H72" s="95"/>
      <c r="I72" s="34" t="s">
        <v>63</v>
      </c>
      <c r="J72" s="33">
        <f t="shared" si="52"/>
        <v>0</v>
      </c>
      <c r="K72" s="33">
        <f t="shared" si="53"/>
        <v>0</v>
      </c>
      <c r="L72" s="33">
        <f t="shared" si="54"/>
        <v>0</v>
      </c>
      <c r="M72" s="33">
        <f t="shared" si="55"/>
        <v>0</v>
      </c>
      <c r="N72" s="33">
        <v>0</v>
      </c>
      <c r="O72" s="33">
        <f t="shared" si="56"/>
        <v>0</v>
      </c>
      <c r="P72" s="35" t="s">
        <v>64</v>
      </c>
      <c r="Z72" s="33">
        <f t="shared" si="57"/>
        <v>0</v>
      </c>
      <c r="AB72" s="33">
        <f t="shared" si="58"/>
        <v>0</v>
      </c>
      <c r="AC72" s="33">
        <f t="shared" si="59"/>
        <v>0</v>
      </c>
      <c r="AD72" s="33">
        <f t="shared" si="60"/>
        <v>0</v>
      </c>
      <c r="AE72" s="33">
        <f t="shared" si="61"/>
        <v>0</v>
      </c>
      <c r="AF72" s="33">
        <f t="shared" si="62"/>
        <v>0</v>
      </c>
      <c r="AG72" s="33">
        <f t="shared" si="63"/>
        <v>0</v>
      </c>
      <c r="AH72" s="33">
        <f t="shared" si="64"/>
        <v>0</v>
      </c>
      <c r="AI72" s="13" t="s">
        <v>56</v>
      </c>
      <c r="AJ72" s="33">
        <f t="shared" si="65"/>
        <v>0</v>
      </c>
      <c r="AK72" s="33">
        <f t="shared" si="66"/>
        <v>0</v>
      </c>
      <c r="AL72" s="33">
        <f t="shared" si="67"/>
        <v>0</v>
      </c>
      <c r="AN72" s="33">
        <v>21</v>
      </c>
      <c r="AO72" s="33">
        <f>H72*0</f>
        <v>0</v>
      </c>
      <c r="AP72" s="33">
        <f>H72*(1-0)</f>
        <v>0</v>
      </c>
      <c r="AQ72" s="34" t="s">
        <v>67</v>
      </c>
      <c r="AV72" s="33">
        <f t="shared" si="68"/>
        <v>0</v>
      </c>
      <c r="AW72" s="33">
        <f t="shared" si="69"/>
        <v>0</v>
      </c>
      <c r="AX72" s="33">
        <f t="shared" si="70"/>
        <v>0</v>
      </c>
      <c r="AY72" s="34" t="s">
        <v>231</v>
      </c>
      <c r="AZ72" s="34" t="s">
        <v>199</v>
      </c>
      <c r="BA72" s="13" t="s">
        <v>66</v>
      </c>
      <c r="BC72" s="33">
        <f t="shared" si="71"/>
        <v>0</v>
      </c>
      <c r="BD72" s="33">
        <f t="shared" si="72"/>
        <v>0</v>
      </c>
      <c r="BE72" s="33">
        <v>0</v>
      </c>
      <c r="BF72" s="33">
        <f t="shared" si="73"/>
        <v>0</v>
      </c>
      <c r="BH72" s="33">
        <f t="shared" si="74"/>
        <v>0</v>
      </c>
      <c r="BI72" s="33">
        <f t="shared" si="75"/>
        <v>0</v>
      </c>
      <c r="BJ72" s="33">
        <f t="shared" si="76"/>
        <v>0</v>
      </c>
      <c r="BK72" s="33"/>
      <c r="BL72" s="33"/>
      <c r="BW72" s="33" t="str">
        <f t="shared" si="77"/>
        <v>21</v>
      </c>
      <c r="BX72" s="5" t="s">
        <v>243</v>
      </c>
    </row>
    <row r="73" spans="1:76" ht="14.4" x14ac:dyDescent="0.3">
      <c r="A73" s="2" t="s">
        <v>244</v>
      </c>
      <c r="B73" s="3" t="s">
        <v>56</v>
      </c>
      <c r="C73" s="3" t="s">
        <v>245</v>
      </c>
      <c r="D73" s="106" t="s">
        <v>246</v>
      </c>
      <c r="E73" s="101"/>
      <c r="F73" s="3" t="s">
        <v>139</v>
      </c>
      <c r="G73" s="33">
        <v>2</v>
      </c>
      <c r="H73" s="95"/>
      <c r="I73" s="34" t="s">
        <v>63</v>
      </c>
      <c r="J73" s="33">
        <f t="shared" si="52"/>
        <v>0</v>
      </c>
      <c r="K73" s="33">
        <f t="shared" si="53"/>
        <v>0</v>
      </c>
      <c r="L73" s="33">
        <f t="shared" si="54"/>
        <v>0</v>
      </c>
      <c r="M73" s="33">
        <f t="shared" si="55"/>
        <v>0</v>
      </c>
      <c r="N73" s="33">
        <v>0</v>
      </c>
      <c r="O73" s="33">
        <f t="shared" si="56"/>
        <v>0</v>
      </c>
      <c r="P73" s="35" t="s">
        <v>64</v>
      </c>
      <c r="Z73" s="33">
        <f t="shared" si="57"/>
        <v>0</v>
      </c>
      <c r="AB73" s="33">
        <f t="shared" si="58"/>
        <v>0</v>
      </c>
      <c r="AC73" s="33">
        <f t="shared" si="59"/>
        <v>0</v>
      </c>
      <c r="AD73" s="33">
        <f t="shared" si="60"/>
        <v>0</v>
      </c>
      <c r="AE73" s="33">
        <f t="shared" si="61"/>
        <v>0</v>
      </c>
      <c r="AF73" s="33">
        <f t="shared" si="62"/>
        <v>0</v>
      </c>
      <c r="AG73" s="33">
        <f t="shared" si="63"/>
        <v>0</v>
      </c>
      <c r="AH73" s="33">
        <f t="shared" si="64"/>
        <v>0</v>
      </c>
      <c r="AI73" s="13" t="s">
        <v>56</v>
      </c>
      <c r="AJ73" s="33">
        <f t="shared" si="65"/>
        <v>0</v>
      </c>
      <c r="AK73" s="33">
        <f t="shared" si="66"/>
        <v>0</v>
      </c>
      <c r="AL73" s="33">
        <f t="shared" si="67"/>
        <v>0</v>
      </c>
      <c r="AN73" s="33">
        <v>21</v>
      </c>
      <c r="AO73" s="33">
        <f>H73*0.08483969</f>
        <v>0</v>
      </c>
      <c r="AP73" s="33">
        <f>H73*(1-0.08483969)</f>
        <v>0</v>
      </c>
      <c r="AQ73" s="34" t="s">
        <v>67</v>
      </c>
      <c r="AV73" s="33">
        <f t="shared" si="68"/>
        <v>0</v>
      </c>
      <c r="AW73" s="33">
        <f t="shared" si="69"/>
        <v>0</v>
      </c>
      <c r="AX73" s="33">
        <f t="shared" si="70"/>
        <v>0</v>
      </c>
      <c r="AY73" s="34" t="s">
        <v>231</v>
      </c>
      <c r="AZ73" s="34" t="s">
        <v>199</v>
      </c>
      <c r="BA73" s="13" t="s">
        <v>66</v>
      </c>
      <c r="BC73" s="33">
        <f t="shared" si="71"/>
        <v>0</v>
      </c>
      <c r="BD73" s="33">
        <f t="shared" si="72"/>
        <v>0</v>
      </c>
      <c r="BE73" s="33">
        <v>0</v>
      </c>
      <c r="BF73" s="33">
        <f t="shared" si="73"/>
        <v>0</v>
      </c>
      <c r="BH73" s="33">
        <f t="shared" si="74"/>
        <v>0</v>
      </c>
      <c r="BI73" s="33">
        <f t="shared" si="75"/>
        <v>0</v>
      </c>
      <c r="BJ73" s="33">
        <f t="shared" si="76"/>
        <v>0</v>
      </c>
      <c r="BK73" s="33"/>
      <c r="BL73" s="33"/>
      <c r="BW73" s="33" t="str">
        <f t="shared" si="77"/>
        <v>21</v>
      </c>
      <c r="BX73" s="5" t="s">
        <v>246</v>
      </c>
    </row>
    <row r="74" spans="1:76" ht="14.4" x14ac:dyDescent="0.3">
      <c r="A74" s="2" t="s">
        <v>247</v>
      </c>
      <c r="B74" s="3" t="s">
        <v>56</v>
      </c>
      <c r="C74" s="3" t="s">
        <v>248</v>
      </c>
      <c r="D74" s="106" t="s">
        <v>249</v>
      </c>
      <c r="E74" s="101"/>
      <c r="F74" s="3" t="s">
        <v>250</v>
      </c>
      <c r="G74" s="33">
        <v>1</v>
      </c>
      <c r="H74" s="95"/>
      <c r="I74" s="34" t="s">
        <v>63</v>
      </c>
      <c r="J74" s="33">
        <f t="shared" si="52"/>
        <v>0</v>
      </c>
      <c r="K74" s="33">
        <f t="shared" si="53"/>
        <v>0</v>
      </c>
      <c r="L74" s="33">
        <f t="shared" si="54"/>
        <v>0</v>
      </c>
      <c r="M74" s="33">
        <f t="shared" si="55"/>
        <v>0</v>
      </c>
      <c r="N74" s="33">
        <v>6.0000000000000002E-5</v>
      </c>
      <c r="O74" s="33">
        <f t="shared" si="56"/>
        <v>6.0000000000000002E-5</v>
      </c>
      <c r="P74" s="35" t="s">
        <v>64</v>
      </c>
      <c r="Z74" s="33">
        <f t="shared" si="57"/>
        <v>0</v>
      </c>
      <c r="AB74" s="33">
        <f t="shared" si="58"/>
        <v>0</v>
      </c>
      <c r="AC74" s="33">
        <f t="shared" si="59"/>
        <v>0</v>
      </c>
      <c r="AD74" s="33">
        <f t="shared" si="60"/>
        <v>0</v>
      </c>
      <c r="AE74" s="33">
        <f t="shared" si="61"/>
        <v>0</v>
      </c>
      <c r="AF74" s="33">
        <f t="shared" si="62"/>
        <v>0</v>
      </c>
      <c r="AG74" s="33">
        <f t="shared" si="63"/>
        <v>0</v>
      </c>
      <c r="AH74" s="33">
        <f t="shared" si="64"/>
        <v>0</v>
      </c>
      <c r="AI74" s="13" t="s">
        <v>56</v>
      </c>
      <c r="AJ74" s="33">
        <f t="shared" si="65"/>
        <v>0</v>
      </c>
      <c r="AK74" s="33">
        <f t="shared" si="66"/>
        <v>0</v>
      </c>
      <c r="AL74" s="33">
        <f t="shared" si="67"/>
        <v>0</v>
      </c>
      <c r="AN74" s="33">
        <v>21</v>
      </c>
      <c r="AO74" s="33">
        <f>H74*0.123181136</f>
        <v>0</v>
      </c>
      <c r="AP74" s="33">
        <f>H74*(1-0.123181136)</f>
        <v>0</v>
      </c>
      <c r="AQ74" s="34" t="s">
        <v>67</v>
      </c>
      <c r="AV74" s="33">
        <f t="shared" si="68"/>
        <v>0</v>
      </c>
      <c r="AW74" s="33">
        <f t="shared" si="69"/>
        <v>0</v>
      </c>
      <c r="AX74" s="33">
        <f t="shared" si="70"/>
        <v>0</v>
      </c>
      <c r="AY74" s="34" t="s">
        <v>231</v>
      </c>
      <c r="AZ74" s="34" t="s">
        <v>199</v>
      </c>
      <c r="BA74" s="13" t="s">
        <v>66</v>
      </c>
      <c r="BC74" s="33">
        <f t="shared" si="71"/>
        <v>0</v>
      </c>
      <c r="BD74" s="33">
        <f t="shared" si="72"/>
        <v>0</v>
      </c>
      <c r="BE74" s="33">
        <v>0</v>
      </c>
      <c r="BF74" s="33">
        <f t="shared" si="73"/>
        <v>6.0000000000000002E-5</v>
      </c>
      <c r="BH74" s="33">
        <f t="shared" si="74"/>
        <v>0</v>
      </c>
      <c r="BI74" s="33">
        <f t="shared" si="75"/>
        <v>0</v>
      </c>
      <c r="BJ74" s="33">
        <f t="shared" si="76"/>
        <v>0</v>
      </c>
      <c r="BK74" s="33"/>
      <c r="BL74" s="33"/>
      <c r="BW74" s="33" t="str">
        <f t="shared" si="77"/>
        <v>21</v>
      </c>
      <c r="BX74" s="5" t="s">
        <v>249</v>
      </c>
    </row>
    <row r="75" spans="1:76" ht="14.4" x14ac:dyDescent="0.3">
      <c r="A75" s="2" t="s">
        <v>251</v>
      </c>
      <c r="B75" s="3" t="s">
        <v>56</v>
      </c>
      <c r="C75" s="3" t="s">
        <v>252</v>
      </c>
      <c r="D75" s="106" t="s">
        <v>253</v>
      </c>
      <c r="E75" s="101"/>
      <c r="F75" s="3" t="s">
        <v>88</v>
      </c>
      <c r="G75" s="33">
        <v>20.6</v>
      </c>
      <c r="H75" s="95"/>
      <c r="I75" s="34" t="s">
        <v>63</v>
      </c>
      <c r="J75" s="33">
        <f t="shared" si="52"/>
        <v>0</v>
      </c>
      <c r="K75" s="33">
        <f t="shared" si="53"/>
        <v>0</v>
      </c>
      <c r="L75" s="33">
        <f t="shared" si="54"/>
        <v>0</v>
      </c>
      <c r="M75" s="33">
        <f t="shared" si="55"/>
        <v>0</v>
      </c>
      <c r="N75" s="33">
        <v>4.8999999999999998E-4</v>
      </c>
      <c r="O75" s="33">
        <f t="shared" si="56"/>
        <v>1.0094000000000001E-2</v>
      </c>
      <c r="P75" s="35" t="s">
        <v>64</v>
      </c>
      <c r="Z75" s="33">
        <f t="shared" si="57"/>
        <v>0</v>
      </c>
      <c r="AB75" s="33">
        <f t="shared" si="58"/>
        <v>0</v>
      </c>
      <c r="AC75" s="33">
        <f t="shared" si="59"/>
        <v>0</v>
      </c>
      <c r="AD75" s="33">
        <f t="shared" si="60"/>
        <v>0</v>
      </c>
      <c r="AE75" s="33">
        <f t="shared" si="61"/>
        <v>0</v>
      </c>
      <c r="AF75" s="33">
        <f t="shared" si="62"/>
        <v>0</v>
      </c>
      <c r="AG75" s="33">
        <f t="shared" si="63"/>
        <v>0</v>
      </c>
      <c r="AH75" s="33">
        <f t="shared" si="64"/>
        <v>0</v>
      </c>
      <c r="AI75" s="13" t="s">
        <v>56</v>
      </c>
      <c r="AJ75" s="33">
        <f t="shared" si="65"/>
        <v>0</v>
      </c>
      <c r="AK75" s="33">
        <f t="shared" si="66"/>
        <v>0</v>
      </c>
      <c r="AL75" s="33">
        <f t="shared" si="67"/>
        <v>0</v>
      </c>
      <c r="AN75" s="33">
        <v>21</v>
      </c>
      <c r="AO75" s="33">
        <f>H75*0.370326439</f>
        <v>0</v>
      </c>
      <c r="AP75" s="33">
        <f>H75*(1-0.370326439)</f>
        <v>0</v>
      </c>
      <c r="AQ75" s="34" t="s">
        <v>67</v>
      </c>
      <c r="AV75" s="33">
        <f t="shared" si="68"/>
        <v>0</v>
      </c>
      <c r="AW75" s="33">
        <f t="shared" si="69"/>
        <v>0</v>
      </c>
      <c r="AX75" s="33">
        <f t="shared" si="70"/>
        <v>0</v>
      </c>
      <c r="AY75" s="34" t="s">
        <v>231</v>
      </c>
      <c r="AZ75" s="34" t="s">
        <v>199</v>
      </c>
      <c r="BA75" s="13" t="s">
        <v>66</v>
      </c>
      <c r="BC75" s="33">
        <f t="shared" si="71"/>
        <v>0</v>
      </c>
      <c r="BD75" s="33">
        <f t="shared" si="72"/>
        <v>0</v>
      </c>
      <c r="BE75" s="33">
        <v>0</v>
      </c>
      <c r="BF75" s="33">
        <f t="shared" si="73"/>
        <v>1.0094000000000001E-2</v>
      </c>
      <c r="BH75" s="33">
        <f t="shared" si="74"/>
        <v>0</v>
      </c>
      <c r="BI75" s="33">
        <f t="shared" si="75"/>
        <v>0</v>
      </c>
      <c r="BJ75" s="33">
        <f t="shared" si="76"/>
        <v>0</v>
      </c>
      <c r="BK75" s="33"/>
      <c r="BL75" s="33"/>
      <c r="BW75" s="33" t="str">
        <f t="shared" si="77"/>
        <v>21</v>
      </c>
      <c r="BX75" s="5" t="s">
        <v>253</v>
      </c>
    </row>
    <row r="76" spans="1:76" ht="14.4" x14ac:dyDescent="0.3">
      <c r="A76" s="36" t="s">
        <v>56</v>
      </c>
      <c r="B76" s="37" t="s">
        <v>56</v>
      </c>
      <c r="C76" s="37" t="s">
        <v>254</v>
      </c>
      <c r="D76" s="125" t="s">
        <v>255</v>
      </c>
      <c r="E76" s="126"/>
      <c r="F76" s="39" t="s">
        <v>4</v>
      </c>
      <c r="G76" s="39" t="s">
        <v>4</v>
      </c>
      <c r="H76" s="39" t="s">
        <v>4</v>
      </c>
      <c r="I76" s="39" t="s">
        <v>4</v>
      </c>
      <c r="J76" s="1">
        <f>SUM(J77:J109)</f>
        <v>0</v>
      </c>
      <c r="K76" s="1">
        <f>SUM(K77:K109)</f>
        <v>0</v>
      </c>
      <c r="L76" s="1">
        <f>SUM(L77:L109)</f>
        <v>0</v>
      </c>
      <c r="M76" s="1">
        <f>SUM(M77:M109)</f>
        <v>0</v>
      </c>
      <c r="N76" s="13" t="s">
        <v>56</v>
      </c>
      <c r="O76" s="1">
        <f>SUM(O77:O109)</f>
        <v>2365.8766880820003</v>
      </c>
      <c r="P76" s="40" t="s">
        <v>56</v>
      </c>
      <c r="AI76" s="13" t="s">
        <v>56</v>
      </c>
      <c r="AS76" s="1">
        <f>SUM(AJ77:AJ109)</f>
        <v>0</v>
      </c>
      <c r="AT76" s="1">
        <f>SUM(AK77:AK109)</f>
        <v>0</v>
      </c>
      <c r="AU76" s="1">
        <f>SUM(AL77:AL109)</f>
        <v>0</v>
      </c>
    </row>
    <row r="77" spans="1:76" ht="14.4" x14ac:dyDescent="0.3">
      <c r="A77" s="2" t="s">
        <v>256</v>
      </c>
      <c r="B77" s="3" t="s">
        <v>56</v>
      </c>
      <c r="C77" s="3" t="s">
        <v>257</v>
      </c>
      <c r="D77" s="106" t="s">
        <v>258</v>
      </c>
      <c r="E77" s="101"/>
      <c r="F77" s="3" t="s">
        <v>172</v>
      </c>
      <c r="G77" s="33">
        <v>37085.274400000002</v>
      </c>
      <c r="H77" s="95"/>
      <c r="I77" s="34" t="s">
        <v>63</v>
      </c>
      <c r="J77" s="33">
        <f t="shared" ref="J77:J109" si="78">G77*AO77</f>
        <v>0</v>
      </c>
      <c r="K77" s="33">
        <f t="shared" ref="K77:K109" si="79">G77*AP77</f>
        <v>0</v>
      </c>
      <c r="L77" s="33">
        <f t="shared" ref="L77:L109" si="80">G77*H77</f>
        <v>0</v>
      </c>
      <c r="M77" s="33">
        <f t="shared" ref="M77:M109" si="81">L77*(1+BW77/100)</f>
        <v>0</v>
      </c>
      <c r="N77" s="33">
        <v>0</v>
      </c>
      <c r="O77" s="33">
        <f t="shared" ref="O77:O109" si="82">G77*N77</f>
        <v>0</v>
      </c>
      <c r="P77" s="35" t="s">
        <v>64</v>
      </c>
      <c r="Z77" s="33">
        <f t="shared" ref="Z77:Z109" si="83">IF(AQ77="5",BJ77,0)</f>
        <v>0</v>
      </c>
      <c r="AB77" s="33">
        <f t="shared" ref="AB77:AB109" si="84">IF(AQ77="1",BH77,0)</f>
        <v>0</v>
      </c>
      <c r="AC77" s="33">
        <f t="shared" ref="AC77:AC109" si="85">IF(AQ77="1",BI77,0)</f>
        <v>0</v>
      </c>
      <c r="AD77" s="33">
        <f t="shared" ref="AD77:AD109" si="86">IF(AQ77="7",BH77,0)</f>
        <v>0</v>
      </c>
      <c r="AE77" s="33">
        <f t="shared" ref="AE77:AE109" si="87">IF(AQ77="7",BI77,0)</f>
        <v>0</v>
      </c>
      <c r="AF77" s="33">
        <f t="shared" ref="AF77:AF109" si="88">IF(AQ77="2",BH77,0)</f>
        <v>0</v>
      </c>
      <c r="AG77" s="33">
        <f t="shared" ref="AG77:AG109" si="89">IF(AQ77="2",BI77,0)</f>
        <v>0</v>
      </c>
      <c r="AH77" s="33">
        <f t="shared" ref="AH77:AH109" si="90">IF(AQ77="0",BJ77,0)</f>
        <v>0</v>
      </c>
      <c r="AI77" s="13" t="s">
        <v>56</v>
      </c>
      <c r="AJ77" s="33">
        <f t="shared" ref="AJ77:AJ109" si="91">IF(AN77=0,L77,0)</f>
        <v>0</v>
      </c>
      <c r="AK77" s="33">
        <f t="shared" ref="AK77:AK109" si="92">IF(AN77=12,L77,0)</f>
        <v>0</v>
      </c>
      <c r="AL77" s="33">
        <f t="shared" ref="AL77:AL109" si="93">IF(AN77=21,L77,0)</f>
        <v>0</v>
      </c>
      <c r="AN77" s="33">
        <v>21</v>
      </c>
      <c r="AO77" s="33">
        <f>H77*0.0335097</f>
        <v>0</v>
      </c>
      <c r="AP77" s="33">
        <f>H77*(1-0.0335097)</f>
        <v>0</v>
      </c>
      <c r="AQ77" s="34" t="s">
        <v>67</v>
      </c>
      <c r="AV77" s="33">
        <f t="shared" ref="AV77:AV109" si="94">AW77+AX77</f>
        <v>0</v>
      </c>
      <c r="AW77" s="33">
        <f t="shared" ref="AW77:AW109" si="95">G77*AO77</f>
        <v>0</v>
      </c>
      <c r="AX77" s="33">
        <f t="shared" ref="AX77:AX109" si="96">G77*AP77</f>
        <v>0</v>
      </c>
      <c r="AY77" s="34" t="s">
        <v>259</v>
      </c>
      <c r="AZ77" s="34" t="s">
        <v>199</v>
      </c>
      <c r="BA77" s="13" t="s">
        <v>66</v>
      </c>
      <c r="BC77" s="33">
        <f t="shared" ref="BC77:BC109" si="97">AW77+AX77</f>
        <v>0</v>
      </c>
      <c r="BD77" s="33">
        <f t="shared" ref="BD77:BD109" si="98">H77/(100-BE77)*100</f>
        <v>0</v>
      </c>
      <c r="BE77" s="33">
        <v>0</v>
      </c>
      <c r="BF77" s="33">
        <f t="shared" ref="BF77:BF109" si="99">O77</f>
        <v>0</v>
      </c>
      <c r="BH77" s="33">
        <f t="shared" ref="BH77:BH109" si="100">G77*AO77</f>
        <v>0</v>
      </c>
      <c r="BI77" s="33">
        <f t="shared" ref="BI77:BI109" si="101">G77*AP77</f>
        <v>0</v>
      </c>
      <c r="BJ77" s="33">
        <f t="shared" ref="BJ77:BJ109" si="102">G77*H77</f>
        <v>0</v>
      </c>
      <c r="BK77" s="33"/>
      <c r="BL77" s="33"/>
      <c r="BW77" s="33" t="str">
        <f t="shared" ref="BW77:BW109" si="103">I77</f>
        <v>21</v>
      </c>
      <c r="BX77" s="5" t="s">
        <v>258</v>
      </c>
    </row>
    <row r="78" spans="1:76" ht="14.4" x14ac:dyDescent="0.3">
      <c r="A78" s="2" t="s">
        <v>260</v>
      </c>
      <c r="B78" s="3" t="s">
        <v>56</v>
      </c>
      <c r="C78" s="3" t="s">
        <v>261</v>
      </c>
      <c r="D78" s="106" t="s">
        <v>262</v>
      </c>
      <c r="E78" s="101"/>
      <c r="F78" s="3" t="s">
        <v>172</v>
      </c>
      <c r="G78" s="33">
        <v>45928.114800000003</v>
      </c>
      <c r="H78" s="95"/>
      <c r="I78" s="34" t="s">
        <v>63</v>
      </c>
      <c r="J78" s="33">
        <f t="shared" si="78"/>
        <v>0</v>
      </c>
      <c r="K78" s="33">
        <f t="shared" si="79"/>
        <v>0</v>
      </c>
      <c r="L78" s="33">
        <f t="shared" si="80"/>
        <v>0</v>
      </c>
      <c r="M78" s="33">
        <f t="shared" si="81"/>
        <v>0</v>
      </c>
      <c r="N78" s="33">
        <v>4.5690000000000001E-2</v>
      </c>
      <c r="O78" s="33">
        <f t="shared" si="82"/>
        <v>2098.4555652120002</v>
      </c>
      <c r="P78" s="35" t="s">
        <v>64</v>
      </c>
      <c r="Z78" s="33">
        <f t="shared" si="83"/>
        <v>0</v>
      </c>
      <c r="AB78" s="33">
        <f t="shared" si="84"/>
        <v>0</v>
      </c>
      <c r="AC78" s="33">
        <f t="shared" si="85"/>
        <v>0</v>
      </c>
      <c r="AD78" s="33">
        <f t="shared" si="86"/>
        <v>0</v>
      </c>
      <c r="AE78" s="33">
        <f t="shared" si="87"/>
        <v>0</v>
      </c>
      <c r="AF78" s="33">
        <f t="shared" si="88"/>
        <v>0</v>
      </c>
      <c r="AG78" s="33">
        <f t="shared" si="89"/>
        <v>0</v>
      </c>
      <c r="AH78" s="33">
        <f t="shared" si="90"/>
        <v>0</v>
      </c>
      <c r="AI78" s="13" t="s">
        <v>56</v>
      </c>
      <c r="AJ78" s="33">
        <f t="shared" si="91"/>
        <v>0</v>
      </c>
      <c r="AK78" s="33">
        <f t="shared" si="92"/>
        <v>0</v>
      </c>
      <c r="AL78" s="33">
        <f t="shared" si="93"/>
        <v>0</v>
      </c>
      <c r="AN78" s="33">
        <v>21</v>
      </c>
      <c r="AO78" s="33">
        <f>H78*0.856137611</f>
        <v>0</v>
      </c>
      <c r="AP78" s="33">
        <f>H78*(1-0.856137611)</f>
        <v>0</v>
      </c>
      <c r="AQ78" s="34" t="s">
        <v>67</v>
      </c>
      <c r="AV78" s="33">
        <f t="shared" si="94"/>
        <v>0</v>
      </c>
      <c r="AW78" s="33">
        <f t="shared" si="95"/>
        <v>0</v>
      </c>
      <c r="AX78" s="33">
        <f t="shared" si="96"/>
        <v>0</v>
      </c>
      <c r="AY78" s="34" t="s">
        <v>259</v>
      </c>
      <c r="AZ78" s="34" t="s">
        <v>199</v>
      </c>
      <c r="BA78" s="13" t="s">
        <v>66</v>
      </c>
      <c r="BC78" s="33">
        <f t="shared" si="97"/>
        <v>0</v>
      </c>
      <c r="BD78" s="33">
        <f t="shared" si="98"/>
        <v>0</v>
      </c>
      <c r="BE78" s="33">
        <v>0</v>
      </c>
      <c r="BF78" s="33">
        <f t="shared" si="99"/>
        <v>2098.4555652120002</v>
      </c>
      <c r="BH78" s="33">
        <f t="shared" si="100"/>
        <v>0</v>
      </c>
      <c r="BI78" s="33">
        <f t="shared" si="101"/>
        <v>0</v>
      </c>
      <c r="BJ78" s="33">
        <f t="shared" si="102"/>
        <v>0</v>
      </c>
      <c r="BK78" s="33"/>
      <c r="BL78" s="33"/>
      <c r="BW78" s="33" t="str">
        <f t="shared" si="103"/>
        <v>21</v>
      </c>
      <c r="BX78" s="5" t="s">
        <v>262</v>
      </c>
    </row>
    <row r="79" spans="1:76" ht="14.4" x14ac:dyDescent="0.3">
      <c r="A79" s="2" t="s">
        <v>263</v>
      </c>
      <c r="B79" s="3" t="s">
        <v>56</v>
      </c>
      <c r="C79" s="3" t="s">
        <v>261</v>
      </c>
      <c r="D79" s="106" t="s">
        <v>264</v>
      </c>
      <c r="E79" s="101"/>
      <c r="F79" s="3" t="s">
        <v>172</v>
      </c>
      <c r="G79" s="33">
        <v>4956.3</v>
      </c>
      <c r="H79" s="95"/>
      <c r="I79" s="34" t="s">
        <v>63</v>
      </c>
      <c r="J79" s="33">
        <f t="shared" si="78"/>
        <v>0</v>
      </c>
      <c r="K79" s="33">
        <f t="shared" si="79"/>
        <v>0</v>
      </c>
      <c r="L79" s="33">
        <f t="shared" si="80"/>
        <v>0</v>
      </c>
      <c r="M79" s="33">
        <f t="shared" si="81"/>
        <v>0</v>
      </c>
      <c r="N79" s="33">
        <v>4.5690000000000001E-2</v>
      </c>
      <c r="O79" s="33">
        <f t="shared" si="82"/>
        <v>226.45334700000001</v>
      </c>
      <c r="P79" s="35" t="s">
        <v>64</v>
      </c>
      <c r="Z79" s="33">
        <f t="shared" si="83"/>
        <v>0</v>
      </c>
      <c r="AB79" s="33">
        <f t="shared" si="84"/>
        <v>0</v>
      </c>
      <c r="AC79" s="33">
        <f t="shared" si="85"/>
        <v>0</v>
      </c>
      <c r="AD79" s="33">
        <f t="shared" si="86"/>
        <v>0</v>
      </c>
      <c r="AE79" s="33">
        <f t="shared" si="87"/>
        <v>0</v>
      </c>
      <c r="AF79" s="33">
        <f t="shared" si="88"/>
        <v>0</v>
      </c>
      <c r="AG79" s="33">
        <f t="shared" si="89"/>
        <v>0</v>
      </c>
      <c r="AH79" s="33">
        <f t="shared" si="90"/>
        <v>0</v>
      </c>
      <c r="AI79" s="13" t="s">
        <v>56</v>
      </c>
      <c r="AJ79" s="33">
        <f t="shared" si="91"/>
        <v>0</v>
      </c>
      <c r="AK79" s="33">
        <f t="shared" si="92"/>
        <v>0</v>
      </c>
      <c r="AL79" s="33">
        <f t="shared" si="93"/>
        <v>0</v>
      </c>
      <c r="AN79" s="33">
        <v>21</v>
      </c>
      <c r="AO79" s="33">
        <f>H79*0.856561088</f>
        <v>0</v>
      </c>
      <c r="AP79" s="33">
        <f>H79*(1-0.856561088)</f>
        <v>0</v>
      </c>
      <c r="AQ79" s="34" t="s">
        <v>67</v>
      </c>
      <c r="AV79" s="33">
        <f t="shared" si="94"/>
        <v>0</v>
      </c>
      <c r="AW79" s="33">
        <f t="shared" si="95"/>
        <v>0</v>
      </c>
      <c r="AX79" s="33">
        <f t="shared" si="96"/>
        <v>0</v>
      </c>
      <c r="AY79" s="34" t="s">
        <v>259</v>
      </c>
      <c r="AZ79" s="34" t="s">
        <v>199</v>
      </c>
      <c r="BA79" s="13" t="s">
        <v>66</v>
      </c>
      <c r="BC79" s="33">
        <f t="shared" si="97"/>
        <v>0</v>
      </c>
      <c r="BD79" s="33">
        <f t="shared" si="98"/>
        <v>0</v>
      </c>
      <c r="BE79" s="33">
        <v>0</v>
      </c>
      <c r="BF79" s="33">
        <f t="shared" si="99"/>
        <v>226.45334700000001</v>
      </c>
      <c r="BH79" s="33">
        <f t="shared" si="100"/>
        <v>0</v>
      </c>
      <c r="BI79" s="33">
        <f t="shared" si="101"/>
        <v>0</v>
      </c>
      <c r="BJ79" s="33">
        <f t="shared" si="102"/>
        <v>0</v>
      </c>
      <c r="BK79" s="33"/>
      <c r="BL79" s="33"/>
      <c r="BW79" s="33" t="str">
        <f t="shared" si="103"/>
        <v>21</v>
      </c>
      <c r="BX79" s="5" t="s">
        <v>264</v>
      </c>
    </row>
    <row r="80" spans="1:76" ht="14.4" x14ac:dyDescent="0.3">
      <c r="A80" s="2" t="s">
        <v>265</v>
      </c>
      <c r="B80" s="3" t="s">
        <v>56</v>
      </c>
      <c r="C80" s="3" t="s">
        <v>266</v>
      </c>
      <c r="D80" s="106" t="s">
        <v>267</v>
      </c>
      <c r="E80" s="101"/>
      <c r="F80" s="3" t="s">
        <v>119</v>
      </c>
      <c r="G80" s="33">
        <v>1.9750000000000001</v>
      </c>
      <c r="H80" s="95"/>
      <c r="I80" s="34" t="s">
        <v>63</v>
      </c>
      <c r="J80" s="33">
        <f t="shared" si="78"/>
        <v>0</v>
      </c>
      <c r="K80" s="33">
        <f t="shared" si="79"/>
        <v>0</v>
      </c>
      <c r="L80" s="33">
        <f t="shared" si="80"/>
        <v>0</v>
      </c>
      <c r="M80" s="33">
        <f t="shared" si="81"/>
        <v>0</v>
      </c>
      <c r="N80" s="33">
        <v>1</v>
      </c>
      <c r="O80" s="33">
        <f t="shared" si="82"/>
        <v>1.9750000000000001</v>
      </c>
      <c r="P80" s="35" t="s">
        <v>64</v>
      </c>
      <c r="Z80" s="33">
        <f t="shared" si="83"/>
        <v>0</v>
      </c>
      <c r="AB80" s="33">
        <f t="shared" si="84"/>
        <v>0</v>
      </c>
      <c r="AC80" s="33">
        <f t="shared" si="85"/>
        <v>0</v>
      </c>
      <c r="AD80" s="33">
        <f t="shared" si="86"/>
        <v>0</v>
      </c>
      <c r="AE80" s="33">
        <f t="shared" si="87"/>
        <v>0</v>
      </c>
      <c r="AF80" s="33">
        <f t="shared" si="88"/>
        <v>0</v>
      </c>
      <c r="AG80" s="33">
        <f t="shared" si="89"/>
        <v>0</v>
      </c>
      <c r="AH80" s="33">
        <f t="shared" si="90"/>
        <v>0</v>
      </c>
      <c r="AI80" s="13" t="s">
        <v>56</v>
      </c>
      <c r="AJ80" s="33">
        <f t="shared" si="91"/>
        <v>0</v>
      </c>
      <c r="AK80" s="33">
        <f t="shared" si="92"/>
        <v>0</v>
      </c>
      <c r="AL80" s="33">
        <f t="shared" si="93"/>
        <v>0</v>
      </c>
      <c r="AN80" s="33">
        <v>21</v>
      </c>
      <c r="AO80" s="33">
        <f t="shared" ref="AO80:AO105" si="104">H80*1</f>
        <v>0</v>
      </c>
      <c r="AP80" s="33">
        <f t="shared" ref="AP80:AP105" si="105">H80*(1-1)</f>
        <v>0</v>
      </c>
      <c r="AQ80" s="34" t="s">
        <v>59</v>
      </c>
      <c r="AV80" s="33">
        <f t="shared" si="94"/>
        <v>0</v>
      </c>
      <c r="AW80" s="33">
        <f t="shared" si="95"/>
        <v>0</v>
      </c>
      <c r="AX80" s="33">
        <f t="shared" si="96"/>
        <v>0</v>
      </c>
      <c r="AY80" s="34" t="s">
        <v>259</v>
      </c>
      <c r="AZ80" s="34" t="s">
        <v>199</v>
      </c>
      <c r="BA80" s="13" t="s">
        <v>66</v>
      </c>
      <c r="BC80" s="33">
        <f t="shared" si="97"/>
        <v>0</v>
      </c>
      <c r="BD80" s="33">
        <f t="shared" si="98"/>
        <v>0</v>
      </c>
      <c r="BE80" s="33">
        <v>0</v>
      </c>
      <c r="BF80" s="33">
        <f t="shared" si="99"/>
        <v>1.9750000000000001</v>
      </c>
      <c r="BH80" s="33">
        <f t="shared" si="100"/>
        <v>0</v>
      </c>
      <c r="BI80" s="33">
        <f t="shared" si="101"/>
        <v>0</v>
      </c>
      <c r="BJ80" s="33">
        <f t="shared" si="102"/>
        <v>0</v>
      </c>
      <c r="BK80" s="33"/>
      <c r="BL80" s="33"/>
      <c r="BW80" s="33" t="str">
        <f t="shared" si="103"/>
        <v>21</v>
      </c>
      <c r="BX80" s="5" t="s">
        <v>267</v>
      </c>
    </row>
    <row r="81" spans="1:76" ht="14.4" x14ac:dyDescent="0.3">
      <c r="A81" s="2" t="s">
        <v>268</v>
      </c>
      <c r="B81" s="3" t="s">
        <v>56</v>
      </c>
      <c r="C81" s="3" t="s">
        <v>269</v>
      </c>
      <c r="D81" s="106" t="s">
        <v>270</v>
      </c>
      <c r="E81" s="101"/>
      <c r="F81" s="3" t="s">
        <v>119</v>
      </c>
      <c r="G81" s="33">
        <v>0.27360000000000001</v>
      </c>
      <c r="H81" s="95"/>
      <c r="I81" s="34" t="s">
        <v>63</v>
      </c>
      <c r="J81" s="33">
        <f t="shared" si="78"/>
        <v>0</v>
      </c>
      <c r="K81" s="33">
        <f t="shared" si="79"/>
        <v>0</v>
      </c>
      <c r="L81" s="33">
        <f t="shared" si="80"/>
        <v>0</v>
      </c>
      <c r="M81" s="33">
        <f t="shared" si="81"/>
        <v>0</v>
      </c>
      <c r="N81" s="33">
        <v>1</v>
      </c>
      <c r="O81" s="33">
        <f t="shared" si="82"/>
        <v>0.27360000000000001</v>
      </c>
      <c r="P81" s="35" t="s">
        <v>64</v>
      </c>
      <c r="Z81" s="33">
        <f t="shared" si="83"/>
        <v>0</v>
      </c>
      <c r="AB81" s="33">
        <f t="shared" si="84"/>
        <v>0</v>
      </c>
      <c r="AC81" s="33">
        <f t="shared" si="85"/>
        <v>0</v>
      </c>
      <c r="AD81" s="33">
        <f t="shared" si="86"/>
        <v>0</v>
      </c>
      <c r="AE81" s="33">
        <f t="shared" si="87"/>
        <v>0</v>
      </c>
      <c r="AF81" s="33">
        <f t="shared" si="88"/>
        <v>0</v>
      </c>
      <c r="AG81" s="33">
        <f t="shared" si="89"/>
        <v>0</v>
      </c>
      <c r="AH81" s="33">
        <f t="shared" si="90"/>
        <v>0</v>
      </c>
      <c r="AI81" s="13" t="s">
        <v>56</v>
      </c>
      <c r="AJ81" s="33">
        <f t="shared" si="91"/>
        <v>0</v>
      </c>
      <c r="AK81" s="33">
        <f t="shared" si="92"/>
        <v>0</v>
      </c>
      <c r="AL81" s="33">
        <f t="shared" si="93"/>
        <v>0</v>
      </c>
      <c r="AN81" s="33">
        <v>21</v>
      </c>
      <c r="AO81" s="33">
        <f t="shared" si="104"/>
        <v>0</v>
      </c>
      <c r="AP81" s="33">
        <f t="shared" si="105"/>
        <v>0</v>
      </c>
      <c r="AQ81" s="34" t="s">
        <v>59</v>
      </c>
      <c r="AV81" s="33">
        <f t="shared" si="94"/>
        <v>0</v>
      </c>
      <c r="AW81" s="33">
        <f t="shared" si="95"/>
        <v>0</v>
      </c>
      <c r="AX81" s="33">
        <f t="shared" si="96"/>
        <v>0</v>
      </c>
      <c r="AY81" s="34" t="s">
        <v>259</v>
      </c>
      <c r="AZ81" s="34" t="s">
        <v>199</v>
      </c>
      <c r="BA81" s="13" t="s">
        <v>66</v>
      </c>
      <c r="BC81" s="33">
        <f t="shared" si="97"/>
        <v>0</v>
      </c>
      <c r="BD81" s="33">
        <f t="shared" si="98"/>
        <v>0</v>
      </c>
      <c r="BE81" s="33">
        <v>0</v>
      </c>
      <c r="BF81" s="33">
        <f t="shared" si="99"/>
        <v>0.27360000000000001</v>
      </c>
      <c r="BH81" s="33">
        <f t="shared" si="100"/>
        <v>0</v>
      </c>
      <c r="BI81" s="33">
        <f t="shared" si="101"/>
        <v>0</v>
      </c>
      <c r="BJ81" s="33">
        <f t="shared" si="102"/>
        <v>0</v>
      </c>
      <c r="BK81" s="33"/>
      <c r="BL81" s="33"/>
      <c r="BW81" s="33" t="str">
        <f t="shared" si="103"/>
        <v>21</v>
      </c>
      <c r="BX81" s="5" t="s">
        <v>270</v>
      </c>
    </row>
    <row r="82" spans="1:76" ht="14.4" x14ac:dyDescent="0.3">
      <c r="A82" s="2" t="s">
        <v>146</v>
      </c>
      <c r="B82" s="3" t="s">
        <v>56</v>
      </c>
      <c r="C82" s="3" t="s">
        <v>271</v>
      </c>
      <c r="D82" s="106" t="s">
        <v>272</v>
      </c>
      <c r="E82" s="101"/>
      <c r="F82" s="3" t="s">
        <v>119</v>
      </c>
      <c r="G82" s="33">
        <v>5.45E-2</v>
      </c>
      <c r="H82" s="95"/>
      <c r="I82" s="34" t="s">
        <v>63</v>
      </c>
      <c r="J82" s="33">
        <f t="shared" si="78"/>
        <v>0</v>
      </c>
      <c r="K82" s="33">
        <f t="shared" si="79"/>
        <v>0</v>
      </c>
      <c r="L82" s="33">
        <f t="shared" si="80"/>
        <v>0</v>
      </c>
      <c r="M82" s="33">
        <f t="shared" si="81"/>
        <v>0</v>
      </c>
      <c r="N82" s="33">
        <v>1</v>
      </c>
      <c r="O82" s="33">
        <f t="shared" si="82"/>
        <v>5.45E-2</v>
      </c>
      <c r="P82" s="35" t="s">
        <v>81</v>
      </c>
      <c r="Z82" s="33">
        <f t="shared" si="83"/>
        <v>0</v>
      </c>
      <c r="AB82" s="33">
        <f t="shared" si="84"/>
        <v>0</v>
      </c>
      <c r="AC82" s="33">
        <f t="shared" si="85"/>
        <v>0</v>
      </c>
      <c r="AD82" s="33">
        <f t="shared" si="86"/>
        <v>0</v>
      </c>
      <c r="AE82" s="33">
        <f t="shared" si="87"/>
        <v>0</v>
      </c>
      <c r="AF82" s="33">
        <f t="shared" si="88"/>
        <v>0</v>
      </c>
      <c r="AG82" s="33">
        <f t="shared" si="89"/>
        <v>0</v>
      </c>
      <c r="AH82" s="33">
        <f t="shared" si="90"/>
        <v>0</v>
      </c>
      <c r="AI82" s="13" t="s">
        <v>56</v>
      </c>
      <c r="AJ82" s="33">
        <f t="shared" si="91"/>
        <v>0</v>
      </c>
      <c r="AK82" s="33">
        <f t="shared" si="92"/>
        <v>0</v>
      </c>
      <c r="AL82" s="33">
        <f t="shared" si="93"/>
        <v>0</v>
      </c>
      <c r="AN82" s="33">
        <v>21</v>
      </c>
      <c r="AO82" s="33">
        <f t="shared" si="104"/>
        <v>0</v>
      </c>
      <c r="AP82" s="33">
        <f t="shared" si="105"/>
        <v>0</v>
      </c>
      <c r="AQ82" s="34" t="s">
        <v>59</v>
      </c>
      <c r="AV82" s="33">
        <f t="shared" si="94"/>
        <v>0</v>
      </c>
      <c r="AW82" s="33">
        <f t="shared" si="95"/>
        <v>0</v>
      </c>
      <c r="AX82" s="33">
        <f t="shared" si="96"/>
        <v>0</v>
      </c>
      <c r="AY82" s="34" t="s">
        <v>259</v>
      </c>
      <c r="AZ82" s="34" t="s">
        <v>199</v>
      </c>
      <c r="BA82" s="13" t="s">
        <v>66</v>
      </c>
      <c r="BC82" s="33">
        <f t="shared" si="97"/>
        <v>0</v>
      </c>
      <c r="BD82" s="33">
        <f t="shared" si="98"/>
        <v>0</v>
      </c>
      <c r="BE82" s="33">
        <v>0</v>
      </c>
      <c r="BF82" s="33">
        <f t="shared" si="99"/>
        <v>5.45E-2</v>
      </c>
      <c r="BH82" s="33">
        <f t="shared" si="100"/>
        <v>0</v>
      </c>
      <c r="BI82" s="33">
        <f t="shared" si="101"/>
        <v>0</v>
      </c>
      <c r="BJ82" s="33">
        <f t="shared" si="102"/>
        <v>0</v>
      </c>
      <c r="BK82" s="33"/>
      <c r="BL82" s="33"/>
      <c r="BW82" s="33" t="str">
        <f t="shared" si="103"/>
        <v>21</v>
      </c>
      <c r="BX82" s="5" t="s">
        <v>272</v>
      </c>
    </row>
    <row r="83" spans="1:76" ht="14.4" x14ac:dyDescent="0.3">
      <c r="A83" s="2" t="s">
        <v>273</v>
      </c>
      <c r="B83" s="3" t="s">
        <v>56</v>
      </c>
      <c r="C83" s="3" t="s">
        <v>274</v>
      </c>
      <c r="D83" s="106" t="s">
        <v>275</v>
      </c>
      <c r="E83" s="101"/>
      <c r="F83" s="3" t="s">
        <v>119</v>
      </c>
      <c r="G83" s="33">
        <v>0.43120000000000003</v>
      </c>
      <c r="H83" s="95"/>
      <c r="I83" s="34" t="s">
        <v>63</v>
      </c>
      <c r="J83" s="33">
        <f t="shared" si="78"/>
        <v>0</v>
      </c>
      <c r="K83" s="33">
        <f t="shared" si="79"/>
        <v>0</v>
      </c>
      <c r="L83" s="33">
        <f t="shared" si="80"/>
        <v>0</v>
      </c>
      <c r="M83" s="33">
        <f t="shared" si="81"/>
        <v>0</v>
      </c>
      <c r="N83" s="33">
        <v>1</v>
      </c>
      <c r="O83" s="33">
        <f t="shared" si="82"/>
        <v>0.43120000000000003</v>
      </c>
      <c r="P83" s="35" t="s">
        <v>81</v>
      </c>
      <c r="Z83" s="33">
        <f t="shared" si="83"/>
        <v>0</v>
      </c>
      <c r="AB83" s="33">
        <f t="shared" si="84"/>
        <v>0</v>
      </c>
      <c r="AC83" s="33">
        <f t="shared" si="85"/>
        <v>0</v>
      </c>
      <c r="AD83" s="33">
        <f t="shared" si="86"/>
        <v>0</v>
      </c>
      <c r="AE83" s="33">
        <f t="shared" si="87"/>
        <v>0</v>
      </c>
      <c r="AF83" s="33">
        <f t="shared" si="88"/>
        <v>0</v>
      </c>
      <c r="AG83" s="33">
        <f t="shared" si="89"/>
        <v>0</v>
      </c>
      <c r="AH83" s="33">
        <f t="shared" si="90"/>
        <v>0</v>
      </c>
      <c r="AI83" s="13" t="s">
        <v>56</v>
      </c>
      <c r="AJ83" s="33">
        <f t="shared" si="91"/>
        <v>0</v>
      </c>
      <c r="AK83" s="33">
        <f t="shared" si="92"/>
        <v>0</v>
      </c>
      <c r="AL83" s="33">
        <f t="shared" si="93"/>
        <v>0</v>
      </c>
      <c r="AN83" s="33">
        <v>21</v>
      </c>
      <c r="AO83" s="33">
        <f t="shared" si="104"/>
        <v>0</v>
      </c>
      <c r="AP83" s="33">
        <f t="shared" si="105"/>
        <v>0</v>
      </c>
      <c r="AQ83" s="34" t="s">
        <v>59</v>
      </c>
      <c r="AV83" s="33">
        <f t="shared" si="94"/>
        <v>0</v>
      </c>
      <c r="AW83" s="33">
        <f t="shared" si="95"/>
        <v>0</v>
      </c>
      <c r="AX83" s="33">
        <f t="shared" si="96"/>
        <v>0</v>
      </c>
      <c r="AY83" s="34" t="s">
        <v>259</v>
      </c>
      <c r="AZ83" s="34" t="s">
        <v>199</v>
      </c>
      <c r="BA83" s="13" t="s">
        <v>66</v>
      </c>
      <c r="BC83" s="33">
        <f t="shared" si="97"/>
        <v>0</v>
      </c>
      <c r="BD83" s="33">
        <f t="shared" si="98"/>
        <v>0</v>
      </c>
      <c r="BE83" s="33">
        <v>0</v>
      </c>
      <c r="BF83" s="33">
        <f t="shared" si="99"/>
        <v>0.43120000000000003</v>
      </c>
      <c r="BH83" s="33">
        <f t="shared" si="100"/>
        <v>0</v>
      </c>
      <c r="BI83" s="33">
        <f t="shared" si="101"/>
        <v>0</v>
      </c>
      <c r="BJ83" s="33">
        <f t="shared" si="102"/>
        <v>0</v>
      </c>
      <c r="BK83" s="33"/>
      <c r="BL83" s="33"/>
      <c r="BW83" s="33" t="str">
        <f t="shared" si="103"/>
        <v>21</v>
      </c>
      <c r="BX83" s="5" t="s">
        <v>275</v>
      </c>
    </row>
    <row r="84" spans="1:76" ht="14.4" x14ac:dyDescent="0.3">
      <c r="A84" s="2" t="s">
        <v>276</v>
      </c>
      <c r="B84" s="3" t="s">
        <v>56</v>
      </c>
      <c r="C84" s="3" t="s">
        <v>277</v>
      </c>
      <c r="D84" s="106" t="s">
        <v>278</v>
      </c>
      <c r="E84" s="101"/>
      <c r="F84" s="3" t="s">
        <v>119</v>
      </c>
      <c r="G84" s="33">
        <v>1.0971</v>
      </c>
      <c r="H84" s="95"/>
      <c r="I84" s="34" t="s">
        <v>63</v>
      </c>
      <c r="J84" s="33">
        <f t="shared" si="78"/>
        <v>0</v>
      </c>
      <c r="K84" s="33">
        <f t="shared" si="79"/>
        <v>0</v>
      </c>
      <c r="L84" s="33">
        <f t="shared" si="80"/>
        <v>0</v>
      </c>
      <c r="M84" s="33">
        <f t="shared" si="81"/>
        <v>0</v>
      </c>
      <c r="N84" s="33">
        <v>1</v>
      </c>
      <c r="O84" s="33">
        <f t="shared" si="82"/>
        <v>1.0971</v>
      </c>
      <c r="P84" s="35" t="s">
        <v>81</v>
      </c>
      <c r="Z84" s="33">
        <f t="shared" si="83"/>
        <v>0</v>
      </c>
      <c r="AB84" s="33">
        <f t="shared" si="84"/>
        <v>0</v>
      </c>
      <c r="AC84" s="33">
        <f t="shared" si="85"/>
        <v>0</v>
      </c>
      <c r="AD84" s="33">
        <f t="shared" si="86"/>
        <v>0</v>
      </c>
      <c r="AE84" s="33">
        <f t="shared" si="87"/>
        <v>0</v>
      </c>
      <c r="AF84" s="33">
        <f t="shared" si="88"/>
        <v>0</v>
      </c>
      <c r="AG84" s="33">
        <f t="shared" si="89"/>
        <v>0</v>
      </c>
      <c r="AH84" s="33">
        <f t="shared" si="90"/>
        <v>0</v>
      </c>
      <c r="AI84" s="13" t="s">
        <v>56</v>
      </c>
      <c r="AJ84" s="33">
        <f t="shared" si="91"/>
        <v>0</v>
      </c>
      <c r="AK84" s="33">
        <f t="shared" si="92"/>
        <v>0</v>
      </c>
      <c r="AL84" s="33">
        <f t="shared" si="93"/>
        <v>0</v>
      </c>
      <c r="AN84" s="33">
        <v>21</v>
      </c>
      <c r="AO84" s="33">
        <f t="shared" si="104"/>
        <v>0</v>
      </c>
      <c r="AP84" s="33">
        <f t="shared" si="105"/>
        <v>0</v>
      </c>
      <c r="AQ84" s="34" t="s">
        <v>59</v>
      </c>
      <c r="AV84" s="33">
        <f t="shared" si="94"/>
        <v>0</v>
      </c>
      <c r="AW84" s="33">
        <f t="shared" si="95"/>
        <v>0</v>
      </c>
      <c r="AX84" s="33">
        <f t="shared" si="96"/>
        <v>0</v>
      </c>
      <c r="AY84" s="34" t="s">
        <v>259</v>
      </c>
      <c r="AZ84" s="34" t="s">
        <v>199</v>
      </c>
      <c r="BA84" s="13" t="s">
        <v>66</v>
      </c>
      <c r="BC84" s="33">
        <f t="shared" si="97"/>
        <v>0</v>
      </c>
      <c r="BD84" s="33">
        <f t="shared" si="98"/>
        <v>0</v>
      </c>
      <c r="BE84" s="33">
        <v>0</v>
      </c>
      <c r="BF84" s="33">
        <f t="shared" si="99"/>
        <v>1.0971</v>
      </c>
      <c r="BH84" s="33">
        <f t="shared" si="100"/>
        <v>0</v>
      </c>
      <c r="BI84" s="33">
        <f t="shared" si="101"/>
        <v>0</v>
      </c>
      <c r="BJ84" s="33">
        <f t="shared" si="102"/>
        <v>0</v>
      </c>
      <c r="BK84" s="33"/>
      <c r="BL84" s="33"/>
      <c r="BW84" s="33" t="str">
        <f t="shared" si="103"/>
        <v>21</v>
      </c>
      <c r="BX84" s="5" t="s">
        <v>278</v>
      </c>
    </row>
    <row r="85" spans="1:76" ht="14.4" x14ac:dyDescent="0.3">
      <c r="A85" s="2" t="s">
        <v>279</v>
      </c>
      <c r="B85" s="3" t="s">
        <v>56</v>
      </c>
      <c r="C85" s="3" t="s">
        <v>280</v>
      </c>
      <c r="D85" s="106" t="s">
        <v>281</v>
      </c>
      <c r="E85" s="101"/>
      <c r="F85" s="3" t="s">
        <v>119</v>
      </c>
      <c r="G85" s="33">
        <v>1.8441000000000001</v>
      </c>
      <c r="H85" s="95"/>
      <c r="I85" s="34" t="s">
        <v>63</v>
      </c>
      <c r="J85" s="33">
        <f t="shared" si="78"/>
        <v>0</v>
      </c>
      <c r="K85" s="33">
        <f t="shared" si="79"/>
        <v>0</v>
      </c>
      <c r="L85" s="33">
        <f t="shared" si="80"/>
        <v>0</v>
      </c>
      <c r="M85" s="33">
        <f t="shared" si="81"/>
        <v>0</v>
      </c>
      <c r="N85" s="33">
        <v>1</v>
      </c>
      <c r="O85" s="33">
        <f t="shared" si="82"/>
        <v>1.8441000000000001</v>
      </c>
      <c r="P85" s="35" t="s">
        <v>81</v>
      </c>
      <c r="Z85" s="33">
        <f t="shared" si="83"/>
        <v>0</v>
      </c>
      <c r="AB85" s="33">
        <f t="shared" si="84"/>
        <v>0</v>
      </c>
      <c r="AC85" s="33">
        <f t="shared" si="85"/>
        <v>0</v>
      </c>
      <c r="AD85" s="33">
        <f t="shared" si="86"/>
        <v>0</v>
      </c>
      <c r="AE85" s="33">
        <f t="shared" si="87"/>
        <v>0</v>
      </c>
      <c r="AF85" s="33">
        <f t="shared" si="88"/>
        <v>0</v>
      </c>
      <c r="AG85" s="33">
        <f t="shared" si="89"/>
        <v>0</v>
      </c>
      <c r="AH85" s="33">
        <f t="shared" si="90"/>
        <v>0</v>
      </c>
      <c r="AI85" s="13" t="s">
        <v>56</v>
      </c>
      <c r="AJ85" s="33">
        <f t="shared" si="91"/>
        <v>0</v>
      </c>
      <c r="AK85" s="33">
        <f t="shared" si="92"/>
        <v>0</v>
      </c>
      <c r="AL85" s="33">
        <f t="shared" si="93"/>
        <v>0</v>
      </c>
      <c r="AN85" s="33">
        <v>21</v>
      </c>
      <c r="AO85" s="33">
        <f t="shared" si="104"/>
        <v>0</v>
      </c>
      <c r="AP85" s="33">
        <f t="shared" si="105"/>
        <v>0</v>
      </c>
      <c r="AQ85" s="34" t="s">
        <v>59</v>
      </c>
      <c r="AV85" s="33">
        <f t="shared" si="94"/>
        <v>0</v>
      </c>
      <c r="AW85" s="33">
        <f t="shared" si="95"/>
        <v>0</v>
      </c>
      <c r="AX85" s="33">
        <f t="shared" si="96"/>
        <v>0</v>
      </c>
      <c r="AY85" s="34" t="s">
        <v>259</v>
      </c>
      <c r="AZ85" s="34" t="s">
        <v>199</v>
      </c>
      <c r="BA85" s="13" t="s">
        <v>66</v>
      </c>
      <c r="BC85" s="33">
        <f t="shared" si="97"/>
        <v>0</v>
      </c>
      <c r="BD85" s="33">
        <f t="shared" si="98"/>
        <v>0</v>
      </c>
      <c r="BE85" s="33">
        <v>0</v>
      </c>
      <c r="BF85" s="33">
        <f t="shared" si="99"/>
        <v>1.8441000000000001</v>
      </c>
      <c r="BH85" s="33">
        <f t="shared" si="100"/>
        <v>0</v>
      </c>
      <c r="BI85" s="33">
        <f t="shared" si="101"/>
        <v>0</v>
      </c>
      <c r="BJ85" s="33">
        <f t="shared" si="102"/>
        <v>0</v>
      </c>
      <c r="BK85" s="33"/>
      <c r="BL85" s="33"/>
      <c r="BW85" s="33" t="str">
        <f t="shared" si="103"/>
        <v>21</v>
      </c>
      <c r="BX85" s="5" t="s">
        <v>281</v>
      </c>
    </row>
    <row r="86" spans="1:76" ht="14.4" x14ac:dyDescent="0.3">
      <c r="A86" s="2" t="s">
        <v>282</v>
      </c>
      <c r="B86" s="3" t="s">
        <v>56</v>
      </c>
      <c r="C86" s="3" t="s">
        <v>283</v>
      </c>
      <c r="D86" s="106" t="s">
        <v>284</v>
      </c>
      <c r="E86" s="101"/>
      <c r="F86" s="3" t="s">
        <v>119</v>
      </c>
      <c r="G86" s="33">
        <v>0.13569999999999999</v>
      </c>
      <c r="H86" s="95"/>
      <c r="I86" s="34" t="s">
        <v>63</v>
      </c>
      <c r="J86" s="33">
        <f t="shared" si="78"/>
        <v>0</v>
      </c>
      <c r="K86" s="33">
        <f t="shared" si="79"/>
        <v>0</v>
      </c>
      <c r="L86" s="33">
        <f t="shared" si="80"/>
        <v>0</v>
      </c>
      <c r="M86" s="33">
        <f t="shared" si="81"/>
        <v>0</v>
      </c>
      <c r="N86" s="33">
        <v>1</v>
      </c>
      <c r="O86" s="33">
        <f t="shared" si="82"/>
        <v>0.13569999999999999</v>
      </c>
      <c r="P86" s="35" t="s">
        <v>81</v>
      </c>
      <c r="Z86" s="33">
        <f t="shared" si="83"/>
        <v>0</v>
      </c>
      <c r="AB86" s="33">
        <f t="shared" si="84"/>
        <v>0</v>
      </c>
      <c r="AC86" s="33">
        <f t="shared" si="85"/>
        <v>0</v>
      </c>
      <c r="AD86" s="33">
        <f t="shared" si="86"/>
        <v>0</v>
      </c>
      <c r="AE86" s="33">
        <f t="shared" si="87"/>
        <v>0</v>
      </c>
      <c r="AF86" s="33">
        <f t="shared" si="88"/>
        <v>0</v>
      </c>
      <c r="AG86" s="33">
        <f t="shared" si="89"/>
        <v>0</v>
      </c>
      <c r="AH86" s="33">
        <f t="shared" si="90"/>
        <v>0</v>
      </c>
      <c r="AI86" s="13" t="s">
        <v>56</v>
      </c>
      <c r="AJ86" s="33">
        <f t="shared" si="91"/>
        <v>0</v>
      </c>
      <c r="AK86" s="33">
        <f t="shared" si="92"/>
        <v>0</v>
      </c>
      <c r="AL86" s="33">
        <f t="shared" si="93"/>
        <v>0</v>
      </c>
      <c r="AN86" s="33">
        <v>21</v>
      </c>
      <c r="AO86" s="33">
        <f t="shared" si="104"/>
        <v>0</v>
      </c>
      <c r="AP86" s="33">
        <f t="shared" si="105"/>
        <v>0</v>
      </c>
      <c r="AQ86" s="34" t="s">
        <v>59</v>
      </c>
      <c r="AV86" s="33">
        <f t="shared" si="94"/>
        <v>0</v>
      </c>
      <c r="AW86" s="33">
        <f t="shared" si="95"/>
        <v>0</v>
      </c>
      <c r="AX86" s="33">
        <f t="shared" si="96"/>
        <v>0</v>
      </c>
      <c r="AY86" s="34" t="s">
        <v>259</v>
      </c>
      <c r="AZ86" s="34" t="s">
        <v>199</v>
      </c>
      <c r="BA86" s="13" t="s">
        <v>66</v>
      </c>
      <c r="BC86" s="33">
        <f t="shared" si="97"/>
        <v>0</v>
      </c>
      <c r="BD86" s="33">
        <f t="shared" si="98"/>
        <v>0</v>
      </c>
      <c r="BE86" s="33">
        <v>0</v>
      </c>
      <c r="BF86" s="33">
        <f t="shared" si="99"/>
        <v>0.13569999999999999</v>
      </c>
      <c r="BH86" s="33">
        <f t="shared" si="100"/>
        <v>0</v>
      </c>
      <c r="BI86" s="33">
        <f t="shared" si="101"/>
        <v>0</v>
      </c>
      <c r="BJ86" s="33">
        <f t="shared" si="102"/>
        <v>0</v>
      </c>
      <c r="BK86" s="33"/>
      <c r="BL86" s="33"/>
      <c r="BW86" s="33" t="str">
        <f t="shared" si="103"/>
        <v>21</v>
      </c>
      <c r="BX86" s="5" t="s">
        <v>284</v>
      </c>
    </row>
    <row r="87" spans="1:76" ht="14.4" x14ac:dyDescent="0.3">
      <c r="A87" s="2" t="s">
        <v>285</v>
      </c>
      <c r="B87" s="3" t="s">
        <v>56</v>
      </c>
      <c r="C87" s="3" t="s">
        <v>286</v>
      </c>
      <c r="D87" s="106" t="s">
        <v>287</v>
      </c>
      <c r="E87" s="101"/>
      <c r="F87" s="3" t="s">
        <v>119</v>
      </c>
      <c r="G87" s="33">
        <v>3.4590999999999998</v>
      </c>
      <c r="H87" s="95"/>
      <c r="I87" s="34" t="s">
        <v>63</v>
      </c>
      <c r="J87" s="33">
        <f t="shared" si="78"/>
        <v>0</v>
      </c>
      <c r="K87" s="33">
        <f t="shared" si="79"/>
        <v>0</v>
      </c>
      <c r="L87" s="33">
        <f t="shared" si="80"/>
        <v>0</v>
      </c>
      <c r="M87" s="33">
        <f t="shared" si="81"/>
        <v>0</v>
      </c>
      <c r="N87" s="33">
        <v>1</v>
      </c>
      <c r="O87" s="33">
        <f t="shared" si="82"/>
        <v>3.4590999999999998</v>
      </c>
      <c r="P87" s="35" t="s">
        <v>81</v>
      </c>
      <c r="Z87" s="33">
        <f t="shared" si="83"/>
        <v>0</v>
      </c>
      <c r="AB87" s="33">
        <f t="shared" si="84"/>
        <v>0</v>
      </c>
      <c r="AC87" s="33">
        <f t="shared" si="85"/>
        <v>0</v>
      </c>
      <c r="AD87" s="33">
        <f t="shared" si="86"/>
        <v>0</v>
      </c>
      <c r="AE87" s="33">
        <f t="shared" si="87"/>
        <v>0</v>
      </c>
      <c r="AF87" s="33">
        <f t="shared" si="88"/>
        <v>0</v>
      </c>
      <c r="AG87" s="33">
        <f t="shared" si="89"/>
        <v>0</v>
      </c>
      <c r="AH87" s="33">
        <f t="shared" si="90"/>
        <v>0</v>
      </c>
      <c r="AI87" s="13" t="s">
        <v>56</v>
      </c>
      <c r="AJ87" s="33">
        <f t="shared" si="91"/>
        <v>0</v>
      </c>
      <c r="AK87" s="33">
        <f t="shared" si="92"/>
        <v>0</v>
      </c>
      <c r="AL87" s="33">
        <f t="shared" si="93"/>
        <v>0</v>
      </c>
      <c r="AN87" s="33">
        <v>21</v>
      </c>
      <c r="AO87" s="33">
        <f t="shared" si="104"/>
        <v>0</v>
      </c>
      <c r="AP87" s="33">
        <f t="shared" si="105"/>
        <v>0</v>
      </c>
      <c r="AQ87" s="34" t="s">
        <v>59</v>
      </c>
      <c r="AV87" s="33">
        <f t="shared" si="94"/>
        <v>0</v>
      </c>
      <c r="AW87" s="33">
        <f t="shared" si="95"/>
        <v>0</v>
      </c>
      <c r="AX87" s="33">
        <f t="shared" si="96"/>
        <v>0</v>
      </c>
      <c r="AY87" s="34" t="s">
        <v>259</v>
      </c>
      <c r="AZ87" s="34" t="s">
        <v>199</v>
      </c>
      <c r="BA87" s="13" t="s">
        <v>66</v>
      </c>
      <c r="BC87" s="33">
        <f t="shared" si="97"/>
        <v>0</v>
      </c>
      <c r="BD87" s="33">
        <f t="shared" si="98"/>
        <v>0</v>
      </c>
      <c r="BE87" s="33">
        <v>0</v>
      </c>
      <c r="BF87" s="33">
        <f t="shared" si="99"/>
        <v>3.4590999999999998</v>
      </c>
      <c r="BH87" s="33">
        <f t="shared" si="100"/>
        <v>0</v>
      </c>
      <c r="BI87" s="33">
        <f t="shared" si="101"/>
        <v>0</v>
      </c>
      <c r="BJ87" s="33">
        <f t="shared" si="102"/>
        <v>0</v>
      </c>
      <c r="BK87" s="33"/>
      <c r="BL87" s="33"/>
      <c r="BW87" s="33" t="str">
        <f t="shared" si="103"/>
        <v>21</v>
      </c>
      <c r="BX87" s="5" t="s">
        <v>287</v>
      </c>
    </row>
    <row r="88" spans="1:76" ht="14.4" x14ac:dyDescent="0.3">
      <c r="A88" s="2" t="s">
        <v>288</v>
      </c>
      <c r="B88" s="3" t="s">
        <v>56</v>
      </c>
      <c r="C88" s="3" t="s">
        <v>286</v>
      </c>
      <c r="D88" s="106" t="s">
        <v>289</v>
      </c>
      <c r="E88" s="101"/>
      <c r="F88" s="3" t="s">
        <v>119</v>
      </c>
      <c r="G88" s="33">
        <v>0.34839999999999999</v>
      </c>
      <c r="H88" s="95"/>
      <c r="I88" s="34" t="s">
        <v>63</v>
      </c>
      <c r="J88" s="33">
        <f t="shared" si="78"/>
        <v>0</v>
      </c>
      <c r="K88" s="33">
        <f t="shared" si="79"/>
        <v>0</v>
      </c>
      <c r="L88" s="33">
        <f t="shared" si="80"/>
        <v>0</v>
      </c>
      <c r="M88" s="33">
        <f t="shared" si="81"/>
        <v>0</v>
      </c>
      <c r="N88" s="33">
        <v>1</v>
      </c>
      <c r="O88" s="33">
        <f t="shared" si="82"/>
        <v>0.34839999999999999</v>
      </c>
      <c r="P88" s="35" t="s">
        <v>81</v>
      </c>
      <c r="Z88" s="33">
        <f t="shared" si="83"/>
        <v>0</v>
      </c>
      <c r="AB88" s="33">
        <f t="shared" si="84"/>
        <v>0</v>
      </c>
      <c r="AC88" s="33">
        <f t="shared" si="85"/>
        <v>0</v>
      </c>
      <c r="AD88" s="33">
        <f t="shared" si="86"/>
        <v>0</v>
      </c>
      <c r="AE88" s="33">
        <f t="shared" si="87"/>
        <v>0</v>
      </c>
      <c r="AF88" s="33">
        <f t="shared" si="88"/>
        <v>0</v>
      </c>
      <c r="AG88" s="33">
        <f t="shared" si="89"/>
        <v>0</v>
      </c>
      <c r="AH88" s="33">
        <f t="shared" si="90"/>
        <v>0</v>
      </c>
      <c r="AI88" s="13" t="s">
        <v>56</v>
      </c>
      <c r="AJ88" s="33">
        <f t="shared" si="91"/>
        <v>0</v>
      </c>
      <c r="AK88" s="33">
        <f t="shared" si="92"/>
        <v>0</v>
      </c>
      <c r="AL88" s="33">
        <f t="shared" si="93"/>
        <v>0</v>
      </c>
      <c r="AN88" s="33">
        <v>21</v>
      </c>
      <c r="AO88" s="33">
        <f t="shared" si="104"/>
        <v>0</v>
      </c>
      <c r="AP88" s="33">
        <f t="shared" si="105"/>
        <v>0</v>
      </c>
      <c r="AQ88" s="34" t="s">
        <v>59</v>
      </c>
      <c r="AV88" s="33">
        <f t="shared" si="94"/>
        <v>0</v>
      </c>
      <c r="AW88" s="33">
        <f t="shared" si="95"/>
        <v>0</v>
      </c>
      <c r="AX88" s="33">
        <f t="shared" si="96"/>
        <v>0</v>
      </c>
      <c r="AY88" s="34" t="s">
        <v>259</v>
      </c>
      <c r="AZ88" s="34" t="s">
        <v>199</v>
      </c>
      <c r="BA88" s="13" t="s">
        <v>66</v>
      </c>
      <c r="BC88" s="33">
        <f t="shared" si="97"/>
        <v>0</v>
      </c>
      <c r="BD88" s="33">
        <f t="shared" si="98"/>
        <v>0</v>
      </c>
      <c r="BE88" s="33">
        <v>0</v>
      </c>
      <c r="BF88" s="33">
        <f t="shared" si="99"/>
        <v>0.34839999999999999</v>
      </c>
      <c r="BH88" s="33">
        <f t="shared" si="100"/>
        <v>0</v>
      </c>
      <c r="BI88" s="33">
        <f t="shared" si="101"/>
        <v>0</v>
      </c>
      <c r="BJ88" s="33">
        <f t="shared" si="102"/>
        <v>0</v>
      </c>
      <c r="BK88" s="33"/>
      <c r="BL88" s="33"/>
      <c r="BW88" s="33" t="str">
        <f t="shared" si="103"/>
        <v>21</v>
      </c>
      <c r="BX88" s="5" t="s">
        <v>289</v>
      </c>
    </row>
    <row r="89" spans="1:76" ht="14.4" x14ac:dyDescent="0.3">
      <c r="A89" s="2" t="s">
        <v>290</v>
      </c>
      <c r="B89" s="3" t="s">
        <v>56</v>
      </c>
      <c r="C89" s="3" t="s">
        <v>291</v>
      </c>
      <c r="D89" s="106" t="s">
        <v>292</v>
      </c>
      <c r="E89" s="101"/>
      <c r="F89" s="3" t="s">
        <v>119</v>
      </c>
      <c r="G89" s="33">
        <v>6.9964000000000004</v>
      </c>
      <c r="H89" s="95"/>
      <c r="I89" s="34" t="s">
        <v>63</v>
      </c>
      <c r="J89" s="33">
        <f t="shared" si="78"/>
        <v>0</v>
      </c>
      <c r="K89" s="33">
        <f t="shared" si="79"/>
        <v>0</v>
      </c>
      <c r="L89" s="33">
        <f t="shared" si="80"/>
        <v>0</v>
      </c>
      <c r="M89" s="33">
        <f t="shared" si="81"/>
        <v>0</v>
      </c>
      <c r="N89" s="33">
        <v>1</v>
      </c>
      <c r="O89" s="33">
        <f t="shared" si="82"/>
        <v>6.9964000000000004</v>
      </c>
      <c r="P89" s="35" t="s">
        <v>81</v>
      </c>
      <c r="Z89" s="33">
        <f t="shared" si="83"/>
        <v>0</v>
      </c>
      <c r="AB89" s="33">
        <f t="shared" si="84"/>
        <v>0</v>
      </c>
      <c r="AC89" s="33">
        <f t="shared" si="85"/>
        <v>0</v>
      </c>
      <c r="AD89" s="33">
        <f t="shared" si="86"/>
        <v>0</v>
      </c>
      <c r="AE89" s="33">
        <f t="shared" si="87"/>
        <v>0</v>
      </c>
      <c r="AF89" s="33">
        <f t="shared" si="88"/>
        <v>0</v>
      </c>
      <c r="AG89" s="33">
        <f t="shared" si="89"/>
        <v>0</v>
      </c>
      <c r="AH89" s="33">
        <f t="shared" si="90"/>
        <v>0</v>
      </c>
      <c r="AI89" s="13" t="s">
        <v>56</v>
      </c>
      <c r="AJ89" s="33">
        <f t="shared" si="91"/>
        <v>0</v>
      </c>
      <c r="AK89" s="33">
        <f t="shared" si="92"/>
        <v>0</v>
      </c>
      <c r="AL89" s="33">
        <f t="shared" si="93"/>
        <v>0</v>
      </c>
      <c r="AN89" s="33">
        <v>21</v>
      </c>
      <c r="AO89" s="33">
        <f t="shared" si="104"/>
        <v>0</v>
      </c>
      <c r="AP89" s="33">
        <f t="shared" si="105"/>
        <v>0</v>
      </c>
      <c r="AQ89" s="34" t="s">
        <v>59</v>
      </c>
      <c r="AV89" s="33">
        <f t="shared" si="94"/>
        <v>0</v>
      </c>
      <c r="AW89" s="33">
        <f t="shared" si="95"/>
        <v>0</v>
      </c>
      <c r="AX89" s="33">
        <f t="shared" si="96"/>
        <v>0</v>
      </c>
      <c r="AY89" s="34" t="s">
        <v>259</v>
      </c>
      <c r="AZ89" s="34" t="s">
        <v>199</v>
      </c>
      <c r="BA89" s="13" t="s">
        <v>66</v>
      </c>
      <c r="BC89" s="33">
        <f t="shared" si="97"/>
        <v>0</v>
      </c>
      <c r="BD89" s="33">
        <f t="shared" si="98"/>
        <v>0</v>
      </c>
      <c r="BE89" s="33">
        <v>0</v>
      </c>
      <c r="BF89" s="33">
        <f t="shared" si="99"/>
        <v>6.9964000000000004</v>
      </c>
      <c r="BH89" s="33">
        <f t="shared" si="100"/>
        <v>0</v>
      </c>
      <c r="BI89" s="33">
        <f t="shared" si="101"/>
        <v>0</v>
      </c>
      <c r="BJ89" s="33">
        <f t="shared" si="102"/>
        <v>0</v>
      </c>
      <c r="BK89" s="33"/>
      <c r="BL89" s="33"/>
      <c r="BW89" s="33" t="str">
        <f t="shared" si="103"/>
        <v>21</v>
      </c>
      <c r="BX89" s="5" t="s">
        <v>292</v>
      </c>
    </row>
    <row r="90" spans="1:76" ht="14.4" x14ac:dyDescent="0.3">
      <c r="A90" s="2" t="s">
        <v>293</v>
      </c>
      <c r="B90" s="3" t="s">
        <v>56</v>
      </c>
      <c r="C90" s="3" t="s">
        <v>294</v>
      </c>
      <c r="D90" s="106" t="s">
        <v>295</v>
      </c>
      <c r="E90" s="101"/>
      <c r="F90" s="3" t="s">
        <v>119</v>
      </c>
      <c r="G90" s="33">
        <v>8.0808</v>
      </c>
      <c r="H90" s="95"/>
      <c r="I90" s="34" t="s">
        <v>63</v>
      </c>
      <c r="J90" s="33">
        <f t="shared" si="78"/>
        <v>0</v>
      </c>
      <c r="K90" s="33">
        <f t="shared" si="79"/>
        <v>0</v>
      </c>
      <c r="L90" s="33">
        <f t="shared" si="80"/>
        <v>0</v>
      </c>
      <c r="M90" s="33">
        <f t="shared" si="81"/>
        <v>0</v>
      </c>
      <c r="N90" s="33">
        <v>1</v>
      </c>
      <c r="O90" s="33">
        <f t="shared" si="82"/>
        <v>8.0808</v>
      </c>
      <c r="P90" s="35" t="s">
        <v>81</v>
      </c>
      <c r="Z90" s="33">
        <f t="shared" si="83"/>
        <v>0</v>
      </c>
      <c r="AB90" s="33">
        <f t="shared" si="84"/>
        <v>0</v>
      </c>
      <c r="AC90" s="33">
        <f t="shared" si="85"/>
        <v>0</v>
      </c>
      <c r="AD90" s="33">
        <f t="shared" si="86"/>
        <v>0</v>
      </c>
      <c r="AE90" s="33">
        <f t="shared" si="87"/>
        <v>0</v>
      </c>
      <c r="AF90" s="33">
        <f t="shared" si="88"/>
        <v>0</v>
      </c>
      <c r="AG90" s="33">
        <f t="shared" si="89"/>
        <v>0</v>
      </c>
      <c r="AH90" s="33">
        <f t="shared" si="90"/>
        <v>0</v>
      </c>
      <c r="AI90" s="13" t="s">
        <v>56</v>
      </c>
      <c r="AJ90" s="33">
        <f t="shared" si="91"/>
        <v>0</v>
      </c>
      <c r="AK90" s="33">
        <f t="shared" si="92"/>
        <v>0</v>
      </c>
      <c r="AL90" s="33">
        <f t="shared" si="93"/>
        <v>0</v>
      </c>
      <c r="AN90" s="33">
        <v>21</v>
      </c>
      <c r="AO90" s="33">
        <f t="shared" si="104"/>
        <v>0</v>
      </c>
      <c r="AP90" s="33">
        <f t="shared" si="105"/>
        <v>0</v>
      </c>
      <c r="AQ90" s="34" t="s">
        <v>59</v>
      </c>
      <c r="AV90" s="33">
        <f t="shared" si="94"/>
        <v>0</v>
      </c>
      <c r="AW90" s="33">
        <f t="shared" si="95"/>
        <v>0</v>
      </c>
      <c r="AX90" s="33">
        <f t="shared" si="96"/>
        <v>0</v>
      </c>
      <c r="AY90" s="34" t="s">
        <v>259</v>
      </c>
      <c r="AZ90" s="34" t="s">
        <v>199</v>
      </c>
      <c r="BA90" s="13" t="s">
        <v>66</v>
      </c>
      <c r="BC90" s="33">
        <f t="shared" si="97"/>
        <v>0</v>
      </c>
      <c r="BD90" s="33">
        <f t="shared" si="98"/>
        <v>0</v>
      </c>
      <c r="BE90" s="33">
        <v>0</v>
      </c>
      <c r="BF90" s="33">
        <f t="shared" si="99"/>
        <v>8.0808</v>
      </c>
      <c r="BH90" s="33">
        <f t="shared" si="100"/>
        <v>0</v>
      </c>
      <c r="BI90" s="33">
        <f t="shared" si="101"/>
        <v>0</v>
      </c>
      <c r="BJ90" s="33">
        <f t="shared" si="102"/>
        <v>0</v>
      </c>
      <c r="BK90" s="33"/>
      <c r="BL90" s="33"/>
      <c r="BW90" s="33" t="str">
        <f t="shared" si="103"/>
        <v>21</v>
      </c>
      <c r="BX90" s="5" t="s">
        <v>295</v>
      </c>
    </row>
    <row r="91" spans="1:76" ht="14.4" x14ac:dyDescent="0.3">
      <c r="A91" s="2" t="s">
        <v>296</v>
      </c>
      <c r="B91" s="3" t="s">
        <v>56</v>
      </c>
      <c r="C91" s="3" t="s">
        <v>297</v>
      </c>
      <c r="D91" s="106" t="s">
        <v>298</v>
      </c>
      <c r="E91" s="101"/>
      <c r="F91" s="3" t="s">
        <v>119</v>
      </c>
      <c r="G91" s="33">
        <v>0.95679999999999998</v>
      </c>
      <c r="H91" s="95"/>
      <c r="I91" s="34" t="s">
        <v>63</v>
      </c>
      <c r="J91" s="33">
        <f t="shared" si="78"/>
        <v>0</v>
      </c>
      <c r="K91" s="33">
        <f t="shared" si="79"/>
        <v>0</v>
      </c>
      <c r="L91" s="33">
        <f t="shared" si="80"/>
        <v>0</v>
      </c>
      <c r="M91" s="33">
        <f t="shared" si="81"/>
        <v>0</v>
      </c>
      <c r="N91" s="33">
        <v>1</v>
      </c>
      <c r="O91" s="33">
        <f t="shared" si="82"/>
        <v>0.95679999999999998</v>
      </c>
      <c r="P91" s="35" t="s">
        <v>81</v>
      </c>
      <c r="Z91" s="33">
        <f t="shared" si="83"/>
        <v>0</v>
      </c>
      <c r="AB91" s="33">
        <f t="shared" si="84"/>
        <v>0</v>
      </c>
      <c r="AC91" s="33">
        <f t="shared" si="85"/>
        <v>0</v>
      </c>
      <c r="AD91" s="33">
        <f t="shared" si="86"/>
        <v>0</v>
      </c>
      <c r="AE91" s="33">
        <f t="shared" si="87"/>
        <v>0</v>
      </c>
      <c r="AF91" s="33">
        <f t="shared" si="88"/>
        <v>0</v>
      </c>
      <c r="AG91" s="33">
        <f t="shared" si="89"/>
        <v>0</v>
      </c>
      <c r="AH91" s="33">
        <f t="shared" si="90"/>
        <v>0</v>
      </c>
      <c r="AI91" s="13" t="s">
        <v>56</v>
      </c>
      <c r="AJ91" s="33">
        <f t="shared" si="91"/>
        <v>0</v>
      </c>
      <c r="AK91" s="33">
        <f t="shared" si="92"/>
        <v>0</v>
      </c>
      <c r="AL91" s="33">
        <f t="shared" si="93"/>
        <v>0</v>
      </c>
      <c r="AN91" s="33">
        <v>21</v>
      </c>
      <c r="AO91" s="33">
        <f t="shared" si="104"/>
        <v>0</v>
      </c>
      <c r="AP91" s="33">
        <f t="shared" si="105"/>
        <v>0</v>
      </c>
      <c r="AQ91" s="34" t="s">
        <v>59</v>
      </c>
      <c r="AV91" s="33">
        <f t="shared" si="94"/>
        <v>0</v>
      </c>
      <c r="AW91" s="33">
        <f t="shared" si="95"/>
        <v>0</v>
      </c>
      <c r="AX91" s="33">
        <f t="shared" si="96"/>
        <v>0</v>
      </c>
      <c r="AY91" s="34" t="s">
        <v>259</v>
      </c>
      <c r="AZ91" s="34" t="s">
        <v>199</v>
      </c>
      <c r="BA91" s="13" t="s">
        <v>66</v>
      </c>
      <c r="BC91" s="33">
        <f t="shared" si="97"/>
        <v>0</v>
      </c>
      <c r="BD91" s="33">
        <f t="shared" si="98"/>
        <v>0</v>
      </c>
      <c r="BE91" s="33">
        <v>0</v>
      </c>
      <c r="BF91" s="33">
        <f t="shared" si="99"/>
        <v>0.95679999999999998</v>
      </c>
      <c r="BH91" s="33">
        <f t="shared" si="100"/>
        <v>0</v>
      </c>
      <c r="BI91" s="33">
        <f t="shared" si="101"/>
        <v>0</v>
      </c>
      <c r="BJ91" s="33">
        <f t="shared" si="102"/>
        <v>0</v>
      </c>
      <c r="BK91" s="33"/>
      <c r="BL91" s="33"/>
      <c r="BW91" s="33" t="str">
        <f t="shared" si="103"/>
        <v>21</v>
      </c>
      <c r="BX91" s="5" t="s">
        <v>298</v>
      </c>
    </row>
    <row r="92" spans="1:76" ht="14.4" x14ac:dyDescent="0.3">
      <c r="A92" s="2" t="s">
        <v>299</v>
      </c>
      <c r="B92" s="3" t="s">
        <v>56</v>
      </c>
      <c r="C92" s="3" t="s">
        <v>300</v>
      </c>
      <c r="D92" s="106" t="s">
        <v>301</v>
      </c>
      <c r="E92" s="101"/>
      <c r="F92" s="3" t="s">
        <v>119</v>
      </c>
      <c r="G92" s="33">
        <v>1.3741000000000001</v>
      </c>
      <c r="H92" s="95"/>
      <c r="I92" s="34" t="s">
        <v>63</v>
      </c>
      <c r="J92" s="33">
        <f t="shared" si="78"/>
        <v>0</v>
      </c>
      <c r="K92" s="33">
        <f t="shared" si="79"/>
        <v>0</v>
      </c>
      <c r="L92" s="33">
        <f t="shared" si="80"/>
        <v>0</v>
      </c>
      <c r="M92" s="33">
        <f t="shared" si="81"/>
        <v>0</v>
      </c>
      <c r="N92" s="33">
        <v>1</v>
      </c>
      <c r="O92" s="33">
        <f t="shared" si="82"/>
        <v>1.3741000000000001</v>
      </c>
      <c r="P92" s="35" t="s">
        <v>81</v>
      </c>
      <c r="Z92" s="33">
        <f t="shared" si="83"/>
        <v>0</v>
      </c>
      <c r="AB92" s="33">
        <f t="shared" si="84"/>
        <v>0</v>
      </c>
      <c r="AC92" s="33">
        <f t="shared" si="85"/>
        <v>0</v>
      </c>
      <c r="AD92" s="33">
        <f t="shared" si="86"/>
        <v>0</v>
      </c>
      <c r="AE92" s="33">
        <f t="shared" si="87"/>
        <v>0</v>
      </c>
      <c r="AF92" s="33">
        <f t="shared" si="88"/>
        <v>0</v>
      </c>
      <c r="AG92" s="33">
        <f t="shared" si="89"/>
        <v>0</v>
      </c>
      <c r="AH92" s="33">
        <f t="shared" si="90"/>
        <v>0</v>
      </c>
      <c r="AI92" s="13" t="s">
        <v>56</v>
      </c>
      <c r="AJ92" s="33">
        <f t="shared" si="91"/>
        <v>0</v>
      </c>
      <c r="AK92" s="33">
        <f t="shared" si="92"/>
        <v>0</v>
      </c>
      <c r="AL92" s="33">
        <f t="shared" si="93"/>
        <v>0</v>
      </c>
      <c r="AN92" s="33">
        <v>21</v>
      </c>
      <c r="AO92" s="33">
        <f t="shared" si="104"/>
        <v>0</v>
      </c>
      <c r="AP92" s="33">
        <f t="shared" si="105"/>
        <v>0</v>
      </c>
      <c r="AQ92" s="34" t="s">
        <v>59</v>
      </c>
      <c r="AV92" s="33">
        <f t="shared" si="94"/>
        <v>0</v>
      </c>
      <c r="AW92" s="33">
        <f t="shared" si="95"/>
        <v>0</v>
      </c>
      <c r="AX92" s="33">
        <f t="shared" si="96"/>
        <v>0</v>
      </c>
      <c r="AY92" s="34" t="s">
        <v>259</v>
      </c>
      <c r="AZ92" s="34" t="s">
        <v>199</v>
      </c>
      <c r="BA92" s="13" t="s">
        <v>66</v>
      </c>
      <c r="BC92" s="33">
        <f t="shared" si="97"/>
        <v>0</v>
      </c>
      <c r="BD92" s="33">
        <f t="shared" si="98"/>
        <v>0</v>
      </c>
      <c r="BE92" s="33">
        <v>0</v>
      </c>
      <c r="BF92" s="33">
        <f t="shared" si="99"/>
        <v>1.3741000000000001</v>
      </c>
      <c r="BH92" s="33">
        <f t="shared" si="100"/>
        <v>0</v>
      </c>
      <c r="BI92" s="33">
        <f t="shared" si="101"/>
        <v>0</v>
      </c>
      <c r="BJ92" s="33">
        <f t="shared" si="102"/>
        <v>0</v>
      </c>
      <c r="BK92" s="33"/>
      <c r="BL92" s="33"/>
      <c r="BW92" s="33" t="str">
        <f t="shared" si="103"/>
        <v>21</v>
      </c>
      <c r="BX92" s="5" t="s">
        <v>301</v>
      </c>
    </row>
    <row r="93" spans="1:76" ht="14.4" x14ac:dyDescent="0.3">
      <c r="A93" s="2" t="s">
        <v>302</v>
      </c>
      <c r="B93" s="3" t="s">
        <v>56</v>
      </c>
      <c r="C93" s="3" t="s">
        <v>300</v>
      </c>
      <c r="D93" s="106" t="s">
        <v>301</v>
      </c>
      <c r="E93" s="101"/>
      <c r="F93" s="3" t="s">
        <v>119</v>
      </c>
      <c r="G93" s="33">
        <v>0.21740000000000001</v>
      </c>
      <c r="H93" s="95"/>
      <c r="I93" s="34" t="s">
        <v>63</v>
      </c>
      <c r="J93" s="33">
        <f t="shared" si="78"/>
        <v>0</v>
      </c>
      <c r="K93" s="33">
        <f t="shared" si="79"/>
        <v>0</v>
      </c>
      <c r="L93" s="33">
        <f t="shared" si="80"/>
        <v>0</v>
      </c>
      <c r="M93" s="33">
        <f t="shared" si="81"/>
        <v>0</v>
      </c>
      <c r="N93" s="33">
        <v>1</v>
      </c>
      <c r="O93" s="33">
        <f t="shared" si="82"/>
        <v>0.21740000000000001</v>
      </c>
      <c r="P93" s="35" t="s">
        <v>81</v>
      </c>
      <c r="Z93" s="33">
        <f t="shared" si="83"/>
        <v>0</v>
      </c>
      <c r="AB93" s="33">
        <f t="shared" si="84"/>
        <v>0</v>
      </c>
      <c r="AC93" s="33">
        <f t="shared" si="85"/>
        <v>0</v>
      </c>
      <c r="AD93" s="33">
        <f t="shared" si="86"/>
        <v>0</v>
      </c>
      <c r="AE93" s="33">
        <f t="shared" si="87"/>
        <v>0</v>
      </c>
      <c r="AF93" s="33">
        <f t="shared" si="88"/>
        <v>0</v>
      </c>
      <c r="AG93" s="33">
        <f t="shared" si="89"/>
        <v>0</v>
      </c>
      <c r="AH93" s="33">
        <f t="shared" si="90"/>
        <v>0</v>
      </c>
      <c r="AI93" s="13" t="s">
        <v>56</v>
      </c>
      <c r="AJ93" s="33">
        <f t="shared" si="91"/>
        <v>0</v>
      </c>
      <c r="AK93" s="33">
        <f t="shared" si="92"/>
        <v>0</v>
      </c>
      <c r="AL93" s="33">
        <f t="shared" si="93"/>
        <v>0</v>
      </c>
      <c r="AN93" s="33">
        <v>21</v>
      </c>
      <c r="AO93" s="33">
        <f t="shared" si="104"/>
        <v>0</v>
      </c>
      <c r="AP93" s="33">
        <f t="shared" si="105"/>
        <v>0</v>
      </c>
      <c r="AQ93" s="34" t="s">
        <v>59</v>
      </c>
      <c r="AV93" s="33">
        <f t="shared" si="94"/>
        <v>0</v>
      </c>
      <c r="AW93" s="33">
        <f t="shared" si="95"/>
        <v>0</v>
      </c>
      <c r="AX93" s="33">
        <f t="shared" si="96"/>
        <v>0</v>
      </c>
      <c r="AY93" s="34" t="s">
        <v>259</v>
      </c>
      <c r="AZ93" s="34" t="s">
        <v>199</v>
      </c>
      <c r="BA93" s="13" t="s">
        <v>66</v>
      </c>
      <c r="BC93" s="33">
        <f t="shared" si="97"/>
        <v>0</v>
      </c>
      <c r="BD93" s="33">
        <f t="shared" si="98"/>
        <v>0</v>
      </c>
      <c r="BE93" s="33">
        <v>0</v>
      </c>
      <c r="BF93" s="33">
        <f t="shared" si="99"/>
        <v>0.21740000000000001</v>
      </c>
      <c r="BH93" s="33">
        <f t="shared" si="100"/>
        <v>0</v>
      </c>
      <c r="BI93" s="33">
        <f t="shared" si="101"/>
        <v>0</v>
      </c>
      <c r="BJ93" s="33">
        <f t="shared" si="102"/>
        <v>0</v>
      </c>
      <c r="BK93" s="33"/>
      <c r="BL93" s="33"/>
      <c r="BW93" s="33" t="str">
        <f t="shared" si="103"/>
        <v>21</v>
      </c>
      <c r="BX93" s="5" t="s">
        <v>301</v>
      </c>
    </row>
    <row r="94" spans="1:76" ht="14.4" x14ac:dyDescent="0.3">
      <c r="A94" s="2" t="s">
        <v>303</v>
      </c>
      <c r="B94" s="3" t="s">
        <v>56</v>
      </c>
      <c r="C94" s="3" t="s">
        <v>304</v>
      </c>
      <c r="D94" s="106" t="s">
        <v>305</v>
      </c>
      <c r="E94" s="101"/>
      <c r="F94" s="3" t="s">
        <v>119</v>
      </c>
      <c r="G94" s="33">
        <v>1.8442000000000001</v>
      </c>
      <c r="H94" s="95"/>
      <c r="I94" s="34" t="s">
        <v>63</v>
      </c>
      <c r="J94" s="33">
        <f t="shared" si="78"/>
        <v>0</v>
      </c>
      <c r="K94" s="33">
        <f t="shared" si="79"/>
        <v>0</v>
      </c>
      <c r="L94" s="33">
        <f t="shared" si="80"/>
        <v>0</v>
      </c>
      <c r="M94" s="33">
        <f t="shared" si="81"/>
        <v>0</v>
      </c>
      <c r="N94" s="33">
        <v>1</v>
      </c>
      <c r="O94" s="33">
        <f t="shared" si="82"/>
        <v>1.8442000000000001</v>
      </c>
      <c r="P94" s="35" t="s">
        <v>81</v>
      </c>
      <c r="Z94" s="33">
        <f t="shared" si="83"/>
        <v>0</v>
      </c>
      <c r="AB94" s="33">
        <f t="shared" si="84"/>
        <v>0</v>
      </c>
      <c r="AC94" s="33">
        <f t="shared" si="85"/>
        <v>0</v>
      </c>
      <c r="AD94" s="33">
        <f t="shared" si="86"/>
        <v>0</v>
      </c>
      <c r="AE94" s="33">
        <f t="shared" si="87"/>
        <v>0</v>
      </c>
      <c r="AF94" s="33">
        <f t="shared" si="88"/>
        <v>0</v>
      </c>
      <c r="AG94" s="33">
        <f t="shared" si="89"/>
        <v>0</v>
      </c>
      <c r="AH94" s="33">
        <f t="shared" si="90"/>
        <v>0</v>
      </c>
      <c r="AI94" s="13" t="s">
        <v>56</v>
      </c>
      <c r="AJ94" s="33">
        <f t="shared" si="91"/>
        <v>0</v>
      </c>
      <c r="AK94" s="33">
        <f t="shared" si="92"/>
        <v>0</v>
      </c>
      <c r="AL94" s="33">
        <f t="shared" si="93"/>
        <v>0</v>
      </c>
      <c r="AN94" s="33">
        <v>21</v>
      </c>
      <c r="AO94" s="33">
        <f t="shared" si="104"/>
        <v>0</v>
      </c>
      <c r="AP94" s="33">
        <f t="shared" si="105"/>
        <v>0</v>
      </c>
      <c r="AQ94" s="34" t="s">
        <v>59</v>
      </c>
      <c r="AV94" s="33">
        <f t="shared" si="94"/>
        <v>0</v>
      </c>
      <c r="AW94" s="33">
        <f t="shared" si="95"/>
        <v>0</v>
      </c>
      <c r="AX94" s="33">
        <f t="shared" si="96"/>
        <v>0</v>
      </c>
      <c r="AY94" s="34" t="s">
        <v>259</v>
      </c>
      <c r="AZ94" s="34" t="s">
        <v>199</v>
      </c>
      <c r="BA94" s="13" t="s">
        <v>66</v>
      </c>
      <c r="BC94" s="33">
        <f t="shared" si="97"/>
        <v>0</v>
      </c>
      <c r="BD94" s="33">
        <f t="shared" si="98"/>
        <v>0</v>
      </c>
      <c r="BE94" s="33">
        <v>0</v>
      </c>
      <c r="BF94" s="33">
        <f t="shared" si="99"/>
        <v>1.8442000000000001</v>
      </c>
      <c r="BH94" s="33">
        <f t="shared" si="100"/>
        <v>0</v>
      </c>
      <c r="BI94" s="33">
        <f t="shared" si="101"/>
        <v>0</v>
      </c>
      <c r="BJ94" s="33">
        <f t="shared" si="102"/>
        <v>0</v>
      </c>
      <c r="BK94" s="33"/>
      <c r="BL94" s="33"/>
      <c r="BW94" s="33" t="str">
        <f t="shared" si="103"/>
        <v>21</v>
      </c>
      <c r="BX94" s="5" t="s">
        <v>305</v>
      </c>
    </row>
    <row r="95" spans="1:76" ht="14.4" x14ac:dyDescent="0.3">
      <c r="A95" s="2" t="s">
        <v>306</v>
      </c>
      <c r="B95" s="3" t="s">
        <v>56</v>
      </c>
      <c r="C95" s="3" t="s">
        <v>307</v>
      </c>
      <c r="D95" s="106" t="s">
        <v>308</v>
      </c>
      <c r="E95" s="101"/>
      <c r="F95" s="3" t="s">
        <v>119</v>
      </c>
      <c r="G95" s="33">
        <v>2.7158000000000002</v>
      </c>
      <c r="H95" s="95"/>
      <c r="I95" s="34" t="s">
        <v>63</v>
      </c>
      <c r="J95" s="33">
        <f t="shared" si="78"/>
        <v>0</v>
      </c>
      <c r="K95" s="33">
        <f t="shared" si="79"/>
        <v>0</v>
      </c>
      <c r="L95" s="33">
        <f t="shared" si="80"/>
        <v>0</v>
      </c>
      <c r="M95" s="33">
        <f t="shared" si="81"/>
        <v>0</v>
      </c>
      <c r="N95" s="33">
        <v>1</v>
      </c>
      <c r="O95" s="33">
        <f t="shared" si="82"/>
        <v>2.7158000000000002</v>
      </c>
      <c r="P95" s="35" t="s">
        <v>81</v>
      </c>
      <c r="Z95" s="33">
        <f t="shared" si="83"/>
        <v>0</v>
      </c>
      <c r="AB95" s="33">
        <f t="shared" si="84"/>
        <v>0</v>
      </c>
      <c r="AC95" s="33">
        <f t="shared" si="85"/>
        <v>0</v>
      </c>
      <c r="AD95" s="33">
        <f t="shared" si="86"/>
        <v>0</v>
      </c>
      <c r="AE95" s="33">
        <f t="shared" si="87"/>
        <v>0</v>
      </c>
      <c r="AF95" s="33">
        <f t="shared" si="88"/>
        <v>0</v>
      </c>
      <c r="AG95" s="33">
        <f t="shared" si="89"/>
        <v>0</v>
      </c>
      <c r="AH95" s="33">
        <f t="shared" si="90"/>
        <v>0</v>
      </c>
      <c r="AI95" s="13" t="s">
        <v>56</v>
      </c>
      <c r="AJ95" s="33">
        <f t="shared" si="91"/>
        <v>0</v>
      </c>
      <c r="AK95" s="33">
        <f t="shared" si="92"/>
        <v>0</v>
      </c>
      <c r="AL95" s="33">
        <f t="shared" si="93"/>
        <v>0</v>
      </c>
      <c r="AN95" s="33">
        <v>21</v>
      </c>
      <c r="AO95" s="33">
        <f t="shared" si="104"/>
        <v>0</v>
      </c>
      <c r="AP95" s="33">
        <f t="shared" si="105"/>
        <v>0</v>
      </c>
      <c r="AQ95" s="34" t="s">
        <v>59</v>
      </c>
      <c r="AV95" s="33">
        <f t="shared" si="94"/>
        <v>0</v>
      </c>
      <c r="AW95" s="33">
        <f t="shared" si="95"/>
        <v>0</v>
      </c>
      <c r="AX95" s="33">
        <f t="shared" si="96"/>
        <v>0</v>
      </c>
      <c r="AY95" s="34" t="s">
        <v>259</v>
      </c>
      <c r="AZ95" s="34" t="s">
        <v>199</v>
      </c>
      <c r="BA95" s="13" t="s">
        <v>66</v>
      </c>
      <c r="BC95" s="33">
        <f t="shared" si="97"/>
        <v>0</v>
      </c>
      <c r="BD95" s="33">
        <f t="shared" si="98"/>
        <v>0</v>
      </c>
      <c r="BE95" s="33">
        <v>0</v>
      </c>
      <c r="BF95" s="33">
        <f t="shared" si="99"/>
        <v>2.7158000000000002</v>
      </c>
      <c r="BH95" s="33">
        <f t="shared" si="100"/>
        <v>0</v>
      </c>
      <c r="BI95" s="33">
        <f t="shared" si="101"/>
        <v>0</v>
      </c>
      <c r="BJ95" s="33">
        <f t="shared" si="102"/>
        <v>0</v>
      </c>
      <c r="BK95" s="33"/>
      <c r="BL95" s="33"/>
      <c r="BW95" s="33" t="str">
        <f t="shared" si="103"/>
        <v>21</v>
      </c>
      <c r="BX95" s="5" t="s">
        <v>308</v>
      </c>
    </row>
    <row r="96" spans="1:76" ht="14.4" x14ac:dyDescent="0.3">
      <c r="A96" s="2" t="s">
        <v>309</v>
      </c>
      <c r="B96" s="3" t="s">
        <v>56</v>
      </c>
      <c r="C96" s="3" t="s">
        <v>310</v>
      </c>
      <c r="D96" s="106" t="s">
        <v>311</v>
      </c>
      <c r="E96" s="101"/>
      <c r="F96" s="3" t="s">
        <v>119</v>
      </c>
      <c r="G96" s="33">
        <v>0.24010000000000001</v>
      </c>
      <c r="H96" s="95"/>
      <c r="I96" s="34" t="s">
        <v>63</v>
      </c>
      <c r="J96" s="33">
        <f t="shared" si="78"/>
        <v>0</v>
      </c>
      <c r="K96" s="33">
        <f t="shared" si="79"/>
        <v>0</v>
      </c>
      <c r="L96" s="33">
        <f t="shared" si="80"/>
        <v>0</v>
      </c>
      <c r="M96" s="33">
        <f t="shared" si="81"/>
        <v>0</v>
      </c>
      <c r="N96" s="33">
        <v>1</v>
      </c>
      <c r="O96" s="33">
        <f t="shared" si="82"/>
        <v>0.24010000000000001</v>
      </c>
      <c r="P96" s="35" t="s">
        <v>81</v>
      </c>
      <c r="Z96" s="33">
        <f t="shared" si="83"/>
        <v>0</v>
      </c>
      <c r="AB96" s="33">
        <f t="shared" si="84"/>
        <v>0</v>
      </c>
      <c r="AC96" s="33">
        <f t="shared" si="85"/>
        <v>0</v>
      </c>
      <c r="AD96" s="33">
        <f t="shared" si="86"/>
        <v>0</v>
      </c>
      <c r="AE96" s="33">
        <f t="shared" si="87"/>
        <v>0</v>
      </c>
      <c r="AF96" s="33">
        <f t="shared" si="88"/>
        <v>0</v>
      </c>
      <c r="AG96" s="33">
        <f t="shared" si="89"/>
        <v>0</v>
      </c>
      <c r="AH96" s="33">
        <f t="shared" si="90"/>
        <v>0</v>
      </c>
      <c r="AI96" s="13" t="s">
        <v>56</v>
      </c>
      <c r="AJ96" s="33">
        <f t="shared" si="91"/>
        <v>0</v>
      </c>
      <c r="AK96" s="33">
        <f t="shared" si="92"/>
        <v>0</v>
      </c>
      <c r="AL96" s="33">
        <f t="shared" si="93"/>
        <v>0</v>
      </c>
      <c r="AN96" s="33">
        <v>21</v>
      </c>
      <c r="AO96" s="33">
        <f t="shared" si="104"/>
        <v>0</v>
      </c>
      <c r="AP96" s="33">
        <f t="shared" si="105"/>
        <v>0</v>
      </c>
      <c r="AQ96" s="34" t="s">
        <v>59</v>
      </c>
      <c r="AV96" s="33">
        <f t="shared" si="94"/>
        <v>0</v>
      </c>
      <c r="AW96" s="33">
        <f t="shared" si="95"/>
        <v>0</v>
      </c>
      <c r="AX96" s="33">
        <f t="shared" si="96"/>
        <v>0</v>
      </c>
      <c r="AY96" s="34" t="s">
        <v>259</v>
      </c>
      <c r="AZ96" s="34" t="s">
        <v>199</v>
      </c>
      <c r="BA96" s="13" t="s">
        <v>66</v>
      </c>
      <c r="BC96" s="33">
        <f t="shared" si="97"/>
        <v>0</v>
      </c>
      <c r="BD96" s="33">
        <f t="shared" si="98"/>
        <v>0</v>
      </c>
      <c r="BE96" s="33">
        <v>0</v>
      </c>
      <c r="BF96" s="33">
        <f t="shared" si="99"/>
        <v>0.24010000000000001</v>
      </c>
      <c r="BH96" s="33">
        <f t="shared" si="100"/>
        <v>0</v>
      </c>
      <c r="BI96" s="33">
        <f t="shared" si="101"/>
        <v>0</v>
      </c>
      <c r="BJ96" s="33">
        <f t="shared" si="102"/>
        <v>0</v>
      </c>
      <c r="BK96" s="33"/>
      <c r="BL96" s="33"/>
      <c r="BW96" s="33" t="str">
        <f t="shared" si="103"/>
        <v>21</v>
      </c>
      <c r="BX96" s="5" t="s">
        <v>311</v>
      </c>
    </row>
    <row r="97" spans="1:76" ht="14.4" x14ac:dyDescent="0.3">
      <c r="A97" s="2" t="s">
        <v>312</v>
      </c>
      <c r="B97" s="3" t="s">
        <v>56</v>
      </c>
      <c r="C97" s="3" t="s">
        <v>313</v>
      </c>
      <c r="D97" s="106" t="s">
        <v>314</v>
      </c>
      <c r="E97" s="101"/>
      <c r="F97" s="3" t="s">
        <v>119</v>
      </c>
      <c r="G97" s="33">
        <v>0.91439999999999999</v>
      </c>
      <c r="H97" s="95"/>
      <c r="I97" s="34" t="s">
        <v>63</v>
      </c>
      <c r="J97" s="33">
        <f t="shared" si="78"/>
        <v>0</v>
      </c>
      <c r="K97" s="33">
        <f t="shared" si="79"/>
        <v>0</v>
      </c>
      <c r="L97" s="33">
        <f t="shared" si="80"/>
        <v>0</v>
      </c>
      <c r="M97" s="33">
        <f t="shared" si="81"/>
        <v>0</v>
      </c>
      <c r="N97" s="33">
        <v>1</v>
      </c>
      <c r="O97" s="33">
        <f t="shared" si="82"/>
        <v>0.91439999999999999</v>
      </c>
      <c r="P97" s="35" t="s">
        <v>81</v>
      </c>
      <c r="Z97" s="33">
        <f t="shared" si="83"/>
        <v>0</v>
      </c>
      <c r="AB97" s="33">
        <f t="shared" si="84"/>
        <v>0</v>
      </c>
      <c r="AC97" s="33">
        <f t="shared" si="85"/>
        <v>0</v>
      </c>
      <c r="AD97" s="33">
        <f t="shared" si="86"/>
        <v>0</v>
      </c>
      <c r="AE97" s="33">
        <f t="shared" si="87"/>
        <v>0</v>
      </c>
      <c r="AF97" s="33">
        <f t="shared" si="88"/>
        <v>0</v>
      </c>
      <c r="AG97" s="33">
        <f t="shared" si="89"/>
        <v>0</v>
      </c>
      <c r="AH97" s="33">
        <f t="shared" si="90"/>
        <v>0</v>
      </c>
      <c r="AI97" s="13" t="s">
        <v>56</v>
      </c>
      <c r="AJ97" s="33">
        <f t="shared" si="91"/>
        <v>0</v>
      </c>
      <c r="AK97" s="33">
        <f t="shared" si="92"/>
        <v>0</v>
      </c>
      <c r="AL97" s="33">
        <f t="shared" si="93"/>
        <v>0</v>
      </c>
      <c r="AN97" s="33">
        <v>21</v>
      </c>
      <c r="AO97" s="33">
        <f t="shared" si="104"/>
        <v>0</v>
      </c>
      <c r="AP97" s="33">
        <f t="shared" si="105"/>
        <v>0</v>
      </c>
      <c r="AQ97" s="34" t="s">
        <v>59</v>
      </c>
      <c r="AV97" s="33">
        <f t="shared" si="94"/>
        <v>0</v>
      </c>
      <c r="AW97" s="33">
        <f t="shared" si="95"/>
        <v>0</v>
      </c>
      <c r="AX97" s="33">
        <f t="shared" si="96"/>
        <v>0</v>
      </c>
      <c r="AY97" s="34" t="s">
        <v>259</v>
      </c>
      <c r="AZ97" s="34" t="s">
        <v>199</v>
      </c>
      <c r="BA97" s="13" t="s">
        <v>66</v>
      </c>
      <c r="BC97" s="33">
        <f t="shared" si="97"/>
        <v>0</v>
      </c>
      <c r="BD97" s="33">
        <f t="shared" si="98"/>
        <v>0</v>
      </c>
      <c r="BE97" s="33">
        <v>0</v>
      </c>
      <c r="BF97" s="33">
        <f t="shared" si="99"/>
        <v>0.91439999999999999</v>
      </c>
      <c r="BH97" s="33">
        <f t="shared" si="100"/>
        <v>0</v>
      </c>
      <c r="BI97" s="33">
        <f t="shared" si="101"/>
        <v>0</v>
      </c>
      <c r="BJ97" s="33">
        <f t="shared" si="102"/>
        <v>0</v>
      </c>
      <c r="BK97" s="33"/>
      <c r="BL97" s="33"/>
      <c r="BW97" s="33" t="str">
        <f t="shared" si="103"/>
        <v>21</v>
      </c>
      <c r="BX97" s="5" t="s">
        <v>314</v>
      </c>
    </row>
    <row r="98" spans="1:76" ht="14.4" x14ac:dyDescent="0.3">
      <c r="A98" s="2" t="s">
        <v>315</v>
      </c>
      <c r="B98" s="3" t="s">
        <v>56</v>
      </c>
      <c r="C98" s="3" t="s">
        <v>310</v>
      </c>
      <c r="D98" s="106" t="s">
        <v>316</v>
      </c>
      <c r="E98" s="101"/>
      <c r="F98" s="3" t="s">
        <v>119</v>
      </c>
      <c r="G98" s="33">
        <v>0.1862</v>
      </c>
      <c r="H98" s="95"/>
      <c r="I98" s="34" t="s">
        <v>63</v>
      </c>
      <c r="J98" s="33">
        <f t="shared" si="78"/>
        <v>0</v>
      </c>
      <c r="K98" s="33">
        <f t="shared" si="79"/>
        <v>0</v>
      </c>
      <c r="L98" s="33">
        <f t="shared" si="80"/>
        <v>0</v>
      </c>
      <c r="M98" s="33">
        <f t="shared" si="81"/>
        <v>0</v>
      </c>
      <c r="N98" s="33">
        <v>1</v>
      </c>
      <c r="O98" s="33">
        <f t="shared" si="82"/>
        <v>0.1862</v>
      </c>
      <c r="P98" s="35" t="s">
        <v>81</v>
      </c>
      <c r="Z98" s="33">
        <f t="shared" si="83"/>
        <v>0</v>
      </c>
      <c r="AB98" s="33">
        <f t="shared" si="84"/>
        <v>0</v>
      </c>
      <c r="AC98" s="33">
        <f t="shared" si="85"/>
        <v>0</v>
      </c>
      <c r="AD98" s="33">
        <f t="shared" si="86"/>
        <v>0</v>
      </c>
      <c r="AE98" s="33">
        <f t="shared" si="87"/>
        <v>0</v>
      </c>
      <c r="AF98" s="33">
        <f t="shared" si="88"/>
        <v>0</v>
      </c>
      <c r="AG98" s="33">
        <f t="shared" si="89"/>
        <v>0</v>
      </c>
      <c r="AH98" s="33">
        <f t="shared" si="90"/>
        <v>0</v>
      </c>
      <c r="AI98" s="13" t="s">
        <v>56</v>
      </c>
      <c r="AJ98" s="33">
        <f t="shared" si="91"/>
        <v>0</v>
      </c>
      <c r="AK98" s="33">
        <f t="shared" si="92"/>
        <v>0</v>
      </c>
      <c r="AL98" s="33">
        <f t="shared" si="93"/>
        <v>0</v>
      </c>
      <c r="AN98" s="33">
        <v>21</v>
      </c>
      <c r="AO98" s="33">
        <f t="shared" si="104"/>
        <v>0</v>
      </c>
      <c r="AP98" s="33">
        <f t="shared" si="105"/>
        <v>0</v>
      </c>
      <c r="AQ98" s="34" t="s">
        <v>59</v>
      </c>
      <c r="AV98" s="33">
        <f t="shared" si="94"/>
        <v>0</v>
      </c>
      <c r="AW98" s="33">
        <f t="shared" si="95"/>
        <v>0</v>
      </c>
      <c r="AX98" s="33">
        <f t="shared" si="96"/>
        <v>0</v>
      </c>
      <c r="AY98" s="34" t="s">
        <v>259</v>
      </c>
      <c r="AZ98" s="34" t="s">
        <v>199</v>
      </c>
      <c r="BA98" s="13" t="s">
        <v>66</v>
      </c>
      <c r="BC98" s="33">
        <f t="shared" si="97"/>
        <v>0</v>
      </c>
      <c r="BD98" s="33">
        <f t="shared" si="98"/>
        <v>0</v>
      </c>
      <c r="BE98" s="33">
        <v>0</v>
      </c>
      <c r="BF98" s="33">
        <f t="shared" si="99"/>
        <v>0.1862</v>
      </c>
      <c r="BH98" s="33">
        <f t="shared" si="100"/>
        <v>0</v>
      </c>
      <c r="BI98" s="33">
        <f t="shared" si="101"/>
        <v>0</v>
      </c>
      <c r="BJ98" s="33">
        <f t="shared" si="102"/>
        <v>0</v>
      </c>
      <c r="BK98" s="33"/>
      <c r="BL98" s="33"/>
      <c r="BW98" s="33" t="str">
        <f t="shared" si="103"/>
        <v>21</v>
      </c>
      <c r="BX98" s="5" t="s">
        <v>316</v>
      </c>
    </row>
    <row r="99" spans="1:76" ht="14.4" x14ac:dyDescent="0.3">
      <c r="A99" s="2" t="s">
        <v>317</v>
      </c>
      <c r="B99" s="3" t="s">
        <v>56</v>
      </c>
      <c r="C99" s="3" t="s">
        <v>318</v>
      </c>
      <c r="D99" s="106" t="s">
        <v>319</v>
      </c>
      <c r="E99" s="101"/>
      <c r="F99" s="3" t="s">
        <v>125</v>
      </c>
      <c r="G99" s="33">
        <v>219.06100000000001</v>
      </c>
      <c r="H99" s="95"/>
      <c r="I99" s="34" t="s">
        <v>63</v>
      </c>
      <c r="J99" s="33">
        <f t="shared" si="78"/>
        <v>0</v>
      </c>
      <c r="K99" s="33">
        <f t="shared" si="79"/>
        <v>0</v>
      </c>
      <c r="L99" s="33">
        <f t="shared" si="80"/>
        <v>0</v>
      </c>
      <c r="M99" s="33">
        <f t="shared" si="81"/>
        <v>0</v>
      </c>
      <c r="N99" s="33">
        <v>5.6699999999999997E-3</v>
      </c>
      <c r="O99" s="33">
        <f t="shared" si="82"/>
        <v>1.2420758700000001</v>
      </c>
      <c r="P99" s="35" t="s">
        <v>81</v>
      </c>
      <c r="Z99" s="33">
        <f t="shared" si="83"/>
        <v>0</v>
      </c>
      <c r="AB99" s="33">
        <f t="shared" si="84"/>
        <v>0</v>
      </c>
      <c r="AC99" s="33">
        <f t="shared" si="85"/>
        <v>0</v>
      </c>
      <c r="AD99" s="33">
        <f t="shared" si="86"/>
        <v>0</v>
      </c>
      <c r="AE99" s="33">
        <f t="shared" si="87"/>
        <v>0</v>
      </c>
      <c r="AF99" s="33">
        <f t="shared" si="88"/>
        <v>0</v>
      </c>
      <c r="AG99" s="33">
        <f t="shared" si="89"/>
        <v>0</v>
      </c>
      <c r="AH99" s="33">
        <f t="shared" si="90"/>
        <v>0</v>
      </c>
      <c r="AI99" s="13" t="s">
        <v>56</v>
      </c>
      <c r="AJ99" s="33">
        <f t="shared" si="91"/>
        <v>0</v>
      </c>
      <c r="AK99" s="33">
        <f t="shared" si="92"/>
        <v>0</v>
      </c>
      <c r="AL99" s="33">
        <f t="shared" si="93"/>
        <v>0</v>
      </c>
      <c r="AN99" s="33">
        <v>21</v>
      </c>
      <c r="AO99" s="33">
        <f t="shared" si="104"/>
        <v>0</v>
      </c>
      <c r="AP99" s="33">
        <f t="shared" si="105"/>
        <v>0</v>
      </c>
      <c r="AQ99" s="34" t="s">
        <v>59</v>
      </c>
      <c r="AV99" s="33">
        <f t="shared" si="94"/>
        <v>0</v>
      </c>
      <c r="AW99" s="33">
        <f t="shared" si="95"/>
        <v>0</v>
      </c>
      <c r="AX99" s="33">
        <f t="shared" si="96"/>
        <v>0</v>
      </c>
      <c r="AY99" s="34" t="s">
        <v>259</v>
      </c>
      <c r="AZ99" s="34" t="s">
        <v>199</v>
      </c>
      <c r="BA99" s="13" t="s">
        <v>66</v>
      </c>
      <c r="BC99" s="33">
        <f t="shared" si="97"/>
        <v>0</v>
      </c>
      <c r="BD99" s="33">
        <f t="shared" si="98"/>
        <v>0</v>
      </c>
      <c r="BE99" s="33">
        <v>0</v>
      </c>
      <c r="BF99" s="33">
        <f t="shared" si="99"/>
        <v>1.2420758700000001</v>
      </c>
      <c r="BH99" s="33">
        <f t="shared" si="100"/>
        <v>0</v>
      </c>
      <c r="BI99" s="33">
        <f t="shared" si="101"/>
        <v>0</v>
      </c>
      <c r="BJ99" s="33">
        <f t="shared" si="102"/>
        <v>0</v>
      </c>
      <c r="BK99" s="33"/>
      <c r="BL99" s="33"/>
      <c r="BW99" s="33" t="str">
        <f t="shared" si="103"/>
        <v>21</v>
      </c>
      <c r="BX99" s="5" t="s">
        <v>319</v>
      </c>
    </row>
    <row r="100" spans="1:76" ht="14.4" x14ac:dyDescent="0.3">
      <c r="A100" s="2" t="s">
        <v>320</v>
      </c>
      <c r="B100" s="3" t="s">
        <v>56</v>
      </c>
      <c r="C100" s="3" t="s">
        <v>321</v>
      </c>
      <c r="D100" s="106" t="s">
        <v>322</v>
      </c>
      <c r="E100" s="101"/>
      <c r="F100" s="3" t="s">
        <v>119</v>
      </c>
      <c r="G100" s="33">
        <v>2.12E-2</v>
      </c>
      <c r="H100" s="95"/>
      <c r="I100" s="34" t="s">
        <v>63</v>
      </c>
      <c r="J100" s="33">
        <f t="shared" si="78"/>
        <v>0</v>
      </c>
      <c r="K100" s="33">
        <f t="shared" si="79"/>
        <v>0</v>
      </c>
      <c r="L100" s="33">
        <f t="shared" si="80"/>
        <v>0</v>
      </c>
      <c r="M100" s="33">
        <f t="shared" si="81"/>
        <v>0</v>
      </c>
      <c r="N100" s="33">
        <v>1</v>
      </c>
      <c r="O100" s="33">
        <f t="shared" si="82"/>
        <v>2.12E-2</v>
      </c>
      <c r="P100" s="35" t="s">
        <v>81</v>
      </c>
      <c r="Z100" s="33">
        <f t="shared" si="83"/>
        <v>0</v>
      </c>
      <c r="AB100" s="33">
        <f t="shared" si="84"/>
        <v>0</v>
      </c>
      <c r="AC100" s="33">
        <f t="shared" si="85"/>
        <v>0</v>
      </c>
      <c r="AD100" s="33">
        <f t="shared" si="86"/>
        <v>0</v>
      </c>
      <c r="AE100" s="33">
        <f t="shared" si="87"/>
        <v>0</v>
      </c>
      <c r="AF100" s="33">
        <f t="shared" si="88"/>
        <v>0</v>
      </c>
      <c r="AG100" s="33">
        <f t="shared" si="89"/>
        <v>0</v>
      </c>
      <c r="AH100" s="33">
        <f t="shared" si="90"/>
        <v>0</v>
      </c>
      <c r="AI100" s="13" t="s">
        <v>56</v>
      </c>
      <c r="AJ100" s="33">
        <f t="shared" si="91"/>
        <v>0</v>
      </c>
      <c r="AK100" s="33">
        <f t="shared" si="92"/>
        <v>0</v>
      </c>
      <c r="AL100" s="33">
        <f t="shared" si="93"/>
        <v>0</v>
      </c>
      <c r="AN100" s="33">
        <v>21</v>
      </c>
      <c r="AO100" s="33">
        <f t="shared" si="104"/>
        <v>0</v>
      </c>
      <c r="AP100" s="33">
        <f t="shared" si="105"/>
        <v>0</v>
      </c>
      <c r="AQ100" s="34" t="s">
        <v>59</v>
      </c>
      <c r="AV100" s="33">
        <f t="shared" si="94"/>
        <v>0</v>
      </c>
      <c r="AW100" s="33">
        <f t="shared" si="95"/>
        <v>0</v>
      </c>
      <c r="AX100" s="33">
        <f t="shared" si="96"/>
        <v>0</v>
      </c>
      <c r="AY100" s="34" t="s">
        <v>259</v>
      </c>
      <c r="AZ100" s="34" t="s">
        <v>199</v>
      </c>
      <c r="BA100" s="13" t="s">
        <v>66</v>
      </c>
      <c r="BC100" s="33">
        <f t="shared" si="97"/>
        <v>0</v>
      </c>
      <c r="BD100" s="33">
        <f t="shared" si="98"/>
        <v>0</v>
      </c>
      <c r="BE100" s="33">
        <v>0</v>
      </c>
      <c r="BF100" s="33">
        <f t="shared" si="99"/>
        <v>2.12E-2</v>
      </c>
      <c r="BH100" s="33">
        <f t="shared" si="100"/>
        <v>0</v>
      </c>
      <c r="BI100" s="33">
        <f t="shared" si="101"/>
        <v>0</v>
      </c>
      <c r="BJ100" s="33">
        <f t="shared" si="102"/>
        <v>0</v>
      </c>
      <c r="BK100" s="33"/>
      <c r="BL100" s="33"/>
      <c r="BW100" s="33" t="str">
        <f t="shared" si="103"/>
        <v>21</v>
      </c>
      <c r="BX100" s="5" t="s">
        <v>322</v>
      </c>
    </row>
    <row r="101" spans="1:76" ht="14.4" x14ac:dyDescent="0.3">
      <c r="A101" s="2" t="s">
        <v>323</v>
      </c>
      <c r="B101" s="3" t="s">
        <v>56</v>
      </c>
      <c r="C101" s="3" t="s">
        <v>324</v>
      </c>
      <c r="D101" s="106" t="s">
        <v>325</v>
      </c>
      <c r="E101" s="101"/>
      <c r="F101" s="3" t="s">
        <v>119</v>
      </c>
      <c r="G101" s="33">
        <v>6.3600000000000004E-2</v>
      </c>
      <c r="H101" s="95"/>
      <c r="I101" s="34" t="s">
        <v>63</v>
      </c>
      <c r="J101" s="33">
        <f t="shared" si="78"/>
        <v>0</v>
      </c>
      <c r="K101" s="33">
        <f t="shared" si="79"/>
        <v>0</v>
      </c>
      <c r="L101" s="33">
        <f t="shared" si="80"/>
        <v>0</v>
      </c>
      <c r="M101" s="33">
        <f t="shared" si="81"/>
        <v>0</v>
      </c>
      <c r="N101" s="33">
        <v>1</v>
      </c>
      <c r="O101" s="33">
        <f t="shared" si="82"/>
        <v>6.3600000000000004E-2</v>
      </c>
      <c r="P101" s="35" t="s">
        <v>81</v>
      </c>
      <c r="Z101" s="33">
        <f t="shared" si="83"/>
        <v>0</v>
      </c>
      <c r="AB101" s="33">
        <f t="shared" si="84"/>
        <v>0</v>
      </c>
      <c r="AC101" s="33">
        <f t="shared" si="85"/>
        <v>0</v>
      </c>
      <c r="AD101" s="33">
        <f t="shared" si="86"/>
        <v>0</v>
      </c>
      <c r="AE101" s="33">
        <f t="shared" si="87"/>
        <v>0</v>
      </c>
      <c r="AF101" s="33">
        <f t="shared" si="88"/>
        <v>0</v>
      </c>
      <c r="AG101" s="33">
        <f t="shared" si="89"/>
        <v>0</v>
      </c>
      <c r="AH101" s="33">
        <f t="shared" si="90"/>
        <v>0</v>
      </c>
      <c r="AI101" s="13" t="s">
        <v>56</v>
      </c>
      <c r="AJ101" s="33">
        <f t="shared" si="91"/>
        <v>0</v>
      </c>
      <c r="AK101" s="33">
        <f t="shared" si="92"/>
        <v>0</v>
      </c>
      <c r="AL101" s="33">
        <f t="shared" si="93"/>
        <v>0</v>
      </c>
      <c r="AN101" s="33">
        <v>21</v>
      </c>
      <c r="AO101" s="33">
        <f t="shared" si="104"/>
        <v>0</v>
      </c>
      <c r="AP101" s="33">
        <f t="shared" si="105"/>
        <v>0</v>
      </c>
      <c r="AQ101" s="34" t="s">
        <v>59</v>
      </c>
      <c r="AV101" s="33">
        <f t="shared" si="94"/>
        <v>0</v>
      </c>
      <c r="AW101" s="33">
        <f t="shared" si="95"/>
        <v>0</v>
      </c>
      <c r="AX101" s="33">
        <f t="shared" si="96"/>
        <v>0</v>
      </c>
      <c r="AY101" s="34" t="s">
        <v>259</v>
      </c>
      <c r="AZ101" s="34" t="s">
        <v>199</v>
      </c>
      <c r="BA101" s="13" t="s">
        <v>66</v>
      </c>
      <c r="BC101" s="33">
        <f t="shared" si="97"/>
        <v>0</v>
      </c>
      <c r="BD101" s="33">
        <f t="shared" si="98"/>
        <v>0</v>
      </c>
      <c r="BE101" s="33">
        <v>0</v>
      </c>
      <c r="BF101" s="33">
        <f t="shared" si="99"/>
        <v>6.3600000000000004E-2</v>
      </c>
      <c r="BH101" s="33">
        <f t="shared" si="100"/>
        <v>0</v>
      </c>
      <c r="BI101" s="33">
        <f t="shared" si="101"/>
        <v>0</v>
      </c>
      <c r="BJ101" s="33">
        <f t="shared" si="102"/>
        <v>0</v>
      </c>
      <c r="BK101" s="33"/>
      <c r="BL101" s="33"/>
      <c r="BW101" s="33" t="str">
        <f t="shared" si="103"/>
        <v>21</v>
      </c>
      <c r="BX101" s="5" t="s">
        <v>325</v>
      </c>
    </row>
    <row r="102" spans="1:76" ht="14.4" x14ac:dyDescent="0.3">
      <c r="A102" s="2" t="s">
        <v>326</v>
      </c>
      <c r="B102" s="3" t="s">
        <v>56</v>
      </c>
      <c r="C102" s="3" t="s">
        <v>327</v>
      </c>
      <c r="D102" s="106" t="s">
        <v>328</v>
      </c>
      <c r="E102" s="101"/>
      <c r="F102" s="3" t="s">
        <v>119</v>
      </c>
      <c r="G102" s="33">
        <v>0.60980000000000001</v>
      </c>
      <c r="H102" s="95"/>
      <c r="I102" s="34" t="s">
        <v>63</v>
      </c>
      <c r="J102" s="33">
        <f t="shared" si="78"/>
        <v>0</v>
      </c>
      <c r="K102" s="33">
        <f t="shared" si="79"/>
        <v>0</v>
      </c>
      <c r="L102" s="33">
        <f t="shared" si="80"/>
        <v>0</v>
      </c>
      <c r="M102" s="33">
        <f t="shared" si="81"/>
        <v>0</v>
      </c>
      <c r="N102" s="33">
        <v>1</v>
      </c>
      <c r="O102" s="33">
        <f t="shared" si="82"/>
        <v>0.60980000000000001</v>
      </c>
      <c r="P102" s="35" t="s">
        <v>81</v>
      </c>
      <c r="Z102" s="33">
        <f t="shared" si="83"/>
        <v>0</v>
      </c>
      <c r="AB102" s="33">
        <f t="shared" si="84"/>
        <v>0</v>
      </c>
      <c r="AC102" s="33">
        <f t="shared" si="85"/>
        <v>0</v>
      </c>
      <c r="AD102" s="33">
        <f t="shared" si="86"/>
        <v>0</v>
      </c>
      <c r="AE102" s="33">
        <f t="shared" si="87"/>
        <v>0</v>
      </c>
      <c r="AF102" s="33">
        <f t="shared" si="88"/>
        <v>0</v>
      </c>
      <c r="AG102" s="33">
        <f t="shared" si="89"/>
        <v>0</v>
      </c>
      <c r="AH102" s="33">
        <f t="shared" si="90"/>
        <v>0</v>
      </c>
      <c r="AI102" s="13" t="s">
        <v>56</v>
      </c>
      <c r="AJ102" s="33">
        <f t="shared" si="91"/>
        <v>0</v>
      </c>
      <c r="AK102" s="33">
        <f t="shared" si="92"/>
        <v>0</v>
      </c>
      <c r="AL102" s="33">
        <f t="shared" si="93"/>
        <v>0</v>
      </c>
      <c r="AN102" s="33">
        <v>21</v>
      </c>
      <c r="AO102" s="33">
        <f t="shared" si="104"/>
        <v>0</v>
      </c>
      <c r="AP102" s="33">
        <f t="shared" si="105"/>
        <v>0</v>
      </c>
      <c r="AQ102" s="34" t="s">
        <v>59</v>
      </c>
      <c r="AV102" s="33">
        <f t="shared" si="94"/>
        <v>0</v>
      </c>
      <c r="AW102" s="33">
        <f t="shared" si="95"/>
        <v>0</v>
      </c>
      <c r="AX102" s="33">
        <f t="shared" si="96"/>
        <v>0</v>
      </c>
      <c r="AY102" s="34" t="s">
        <v>259</v>
      </c>
      <c r="AZ102" s="34" t="s">
        <v>199</v>
      </c>
      <c r="BA102" s="13" t="s">
        <v>66</v>
      </c>
      <c r="BC102" s="33">
        <f t="shared" si="97"/>
        <v>0</v>
      </c>
      <c r="BD102" s="33">
        <f t="shared" si="98"/>
        <v>0</v>
      </c>
      <c r="BE102" s="33">
        <v>0</v>
      </c>
      <c r="BF102" s="33">
        <f t="shared" si="99"/>
        <v>0.60980000000000001</v>
      </c>
      <c r="BH102" s="33">
        <f t="shared" si="100"/>
        <v>0</v>
      </c>
      <c r="BI102" s="33">
        <f t="shared" si="101"/>
        <v>0</v>
      </c>
      <c r="BJ102" s="33">
        <f t="shared" si="102"/>
        <v>0</v>
      </c>
      <c r="BK102" s="33"/>
      <c r="BL102" s="33"/>
      <c r="BW102" s="33" t="str">
        <f t="shared" si="103"/>
        <v>21</v>
      </c>
      <c r="BX102" s="5" t="s">
        <v>328</v>
      </c>
    </row>
    <row r="103" spans="1:76" ht="14.4" x14ac:dyDescent="0.3">
      <c r="A103" s="2" t="s">
        <v>329</v>
      </c>
      <c r="B103" s="3" t="s">
        <v>56</v>
      </c>
      <c r="C103" s="3" t="s">
        <v>330</v>
      </c>
      <c r="D103" s="106" t="s">
        <v>331</v>
      </c>
      <c r="E103" s="101"/>
      <c r="F103" s="3" t="s">
        <v>119</v>
      </c>
      <c r="G103" s="33">
        <v>3.8437999999999999</v>
      </c>
      <c r="H103" s="95"/>
      <c r="I103" s="34" t="s">
        <v>63</v>
      </c>
      <c r="J103" s="33">
        <f t="shared" si="78"/>
        <v>0</v>
      </c>
      <c r="K103" s="33">
        <f t="shared" si="79"/>
        <v>0</v>
      </c>
      <c r="L103" s="33">
        <f t="shared" si="80"/>
        <v>0</v>
      </c>
      <c r="M103" s="33">
        <f t="shared" si="81"/>
        <v>0</v>
      </c>
      <c r="N103" s="33">
        <v>1</v>
      </c>
      <c r="O103" s="33">
        <f t="shared" si="82"/>
        <v>3.8437999999999999</v>
      </c>
      <c r="P103" s="35" t="s">
        <v>81</v>
      </c>
      <c r="Z103" s="33">
        <f t="shared" si="83"/>
        <v>0</v>
      </c>
      <c r="AB103" s="33">
        <f t="shared" si="84"/>
        <v>0</v>
      </c>
      <c r="AC103" s="33">
        <f t="shared" si="85"/>
        <v>0</v>
      </c>
      <c r="AD103" s="33">
        <f t="shared" si="86"/>
        <v>0</v>
      </c>
      <c r="AE103" s="33">
        <f t="shared" si="87"/>
        <v>0</v>
      </c>
      <c r="AF103" s="33">
        <f t="shared" si="88"/>
        <v>0</v>
      </c>
      <c r="AG103" s="33">
        <f t="shared" si="89"/>
        <v>0</v>
      </c>
      <c r="AH103" s="33">
        <f t="shared" si="90"/>
        <v>0</v>
      </c>
      <c r="AI103" s="13" t="s">
        <v>56</v>
      </c>
      <c r="AJ103" s="33">
        <f t="shared" si="91"/>
        <v>0</v>
      </c>
      <c r="AK103" s="33">
        <f t="shared" si="92"/>
        <v>0</v>
      </c>
      <c r="AL103" s="33">
        <f t="shared" si="93"/>
        <v>0</v>
      </c>
      <c r="AN103" s="33">
        <v>21</v>
      </c>
      <c r="AO103" s="33">
        <f t="shared" si="104"/>
        <v>0</v>
      </c>
      <c r="AP103" s="33">
        <f t="shared" si="105"/>
        <v>0</v>
      </c>
      <c r="AQ103" s="34" t="s">
        <v>59</v>
      </c>
      <c r="AV103" s="33">
        <f t="shared" si="94"/>
        <v>0</v>
      </c>
      <c r="AW103" s="33">
        <f t="shared" si="95"/>
        <v>0</v>
      </c>
      <c r="AX103" s="33">
        <f t="shared" si="96"/>
        <v>0</v>
      </c>
      <c r="AY103" s="34" t="s">
        <v>259</v>
      </c>
      <c r="AZ103" s="34" t="s">
        <v>199</v>
      </c>
      <c r="BA103" s="13" t="s">
        <v>66</v>
      </c>
      <c r="BC103" s="33">
        <f t="shared" si="97"/>
        <v>0</v>
      </c>
      <c r="BD103" s="33">
        <f t="shared" si="98"/>
        <v>0</v>
      </c>
      <c r="BE103" s="33">
        <v>0</v>
      </c>
      <c r="BF103" s="33">
        <f t="shared" si="99"/>
        <v>3.8437999999999999</v>
      </c>
      <c r="BH103" s="33">
        <f t="shared" si="100"/>
        <v>0</v>
      </c>
      <c r="BI103" s="33">
        <f t="shared" si="101"/>
        <v>0</v>
      </c>
      <c r="BJ103" s="33">
        <f t="shared" si="102"/>
        <v>0</v>
      </c>
      <c r="BK103" s="33"/>
      <c r="BL103" s="33"/>
      <c r="BW103" s="33" t="str">
        <f t="shared" si="103"/>
        <v>21</v>
      </c>
      <c r="BX103" s="5" t="s">
        <v>331</v>
      </c>
    </row>
    <row r="104" spans="1:76" ht="14.4" x14ac:dyDescent="0.3">
      <c r="A104" s="2" t="s">
        <v>332</v>
      </c>
      <c r="B104" s="3" t="s">
        <v>56</v>
      </c>
      <c r="C104" s="3" t="s">
        <v>333</v>
      </c>
      <c r="D104" s="106" t="s">
        <v>334</v>
      </c>
      <c r="E104" s="101"/>
      <c r="F104" s="3" t="s">
        <v>119</v>
      </c>
      <c r="G104" s="33">
        <v>0.64380000000000004</v>
      </c>
      <c r="H104" s="95"/>
      <c r="I104" s="34" t="s">
        <v>63</v>
      </c>
      <c r="J104" s="33">
        <f t="shared" si="78"/>
        <v>0</v>
      </c>
      <c r="K104" s="33">
        <f t="shared" si="79"/>
        <v>0</v>
      </c>
      <c r="L104" s="33">
        <f t="shared" si="80"/>
        <v>0</v>
      </c>
      <c r="M104" s="33">
        <f t="shared" si="81"/>
        <v>0</v>
      </c>
      <c r="N104" s="33">
        <v>1</v>
      </c>
      <c r="O104" s="33">
        <f t="shared" si="82"/>
        <v>0.64380000000000004</v>
      </c>
      <c r="P104" s="35" t="s">
        <v>81</v>
      </c>
      <c r="Z104" s="33">
        <f t="shared" si="83"/>
        <v>0</v>
      </c>
      <c r="AB104" s="33">
        <f t="shared" si="84"/>
        <v>0</v>
      </c>
      <c r="AC104" s="33">
        <f t="shared" si="85"/>
        <v>0</v>
      </c>
      <c r="AD104" s="33">
        <f t="shared" si="86"/>
        <v>0</v>
      </c>
      <c r="AE104" s="33">
        <f t="shared" si="87"/>
        <v>0</v>
      </c>
      <c r="AF104" s="33">
        <f t="shared" si="88"/>
        <v>0</v>
      </c>
      <c r="AG104" s="33">
        <f t="shared" si="89"/>
        <v>0</v>
      </c>
      <c r="AH104" s="33">
        <f t="shared" si="90"/>
        <v>0</v>
      </c>
      <c r="AI104" s="13" t="s">
        <v>56</v>
      </c>
      <c r="AJ104" s="33">
        <f t="shared" si="91"/>
        <v>0</v>
      </c>
      <c r="AK104" s="33">
        <f t="shared" si="92"/>
        <v>0</v>
      </c>
      <c r="AL104" s="33">
        <f t="shared" si="93"/>
        <v>0</v>
      </c>
      <c r="AN104" s="33">
        <v>21</v>
      </c>
      <c r="AO104" s="33">
        <f t="shared" si="104"/>
        <v>0</v>
      </c>
      <c r="AP104" s="33">
        <f t="shared" si="105"/>
        <v>0</v>
      </c>
      <c r="AQ104" s="34" t="s">
        <v>59</v>
      </c>
      <c r="AV104" s="33">
        <f t="shared" si="94"/>
        <v>0</v>
      </c>
      <c r="AW104" s="33">
        <f t="shared" si="95"/>
        <v>0</v>
      </c>
      <c r="AX104" s="33">
        <f t="shared" si="96"/>
        <v>0</v>
      </c>
      <c r="AY104" s="34" t="s">
        <v>259</v>
      </c>
      <c r="AZ104" s="34" t="s">
        <v>199</v>
      </c>
      <c r="BA104" s="13" t="s">
        <v>66</v>
      </c>
      <c r="BC104" s="33">
        <f t="shared" si="97"/>
        <v>0</v>
      </c>
      <c r="BD104" s="33">
        <f t="shared" si="98"/>
        <v>0</v>
      </c>
      <c r="BE104" s="33">
        <v>0</v>
      </c>
      <c r="BF104" s="33">
        <f t="shared" si="99"/>
        <v>0.64380000000000004</v>
      </c>
      <c r="BH104" s="33">
        <f t="shared" si="100"/>
        <v>0</v>
      </c>
      <c r="BI104" s="33">
        <f t="shared" si="101"/>
        <v>0</v>
      </c>
      <c r="BJ104" s="33">
        <f t="shared" si="102"/>
        <v>0</v>
      </c>
      <c r="BK104" s="33"/>
      <c r="BL104" s="33"/>
      <c r="BW104" s="33" t="str">
        <f t="shared" si="103"/>
        <v>21</v>
      </c>
      <c r="BX104" s="5" t="s">
        <v>334</v>
      </c>
    </row>
    <row r="105" spans="1:76" ht="14.4" x14ac:dyDescent="0.3">
      <c r="A105" s="2" t="s">
        <v>335</v>
      </c>
      <c r="B105" s="3" t="s">
        <v>56</v>
      </c>
      <c r="C105" s="3" t="s">
        <v>336</v>
      </c>
      <c r="D105" s="106" t="s">
        <v>337</v>
      </c>
      <c r="E105" s="101"/>
      <c r="F105" s="3" t="s">
        <v>119</v>
      </c>
      <c r="G105" s="33">
        <v>1.3986000000000001</v>
      </c>
      <c r="H105" s="95"/>
      <c r="I105" s="34" t="s">
        <v>63</v>
      </c>
      <c r="J105" s="33">
        <f t="shared" si="78"/>
        <v>0</v>
      </c>
      <c r="K105" s="33">
        <f t="shared" si="79"/>
        <v>0</v>
      </c>
      <c r="L105" s="33">
        <f t="shared" si="80"/>
        <v>0</v>
      </c>
      <c r="M105" s="33">
        <f t="shared" si="81"/>
        <v>0</v>
      </c>
      <c r="N105" s="33">
        <v>1</v>
      </c>
      <c r="O105" s="33">
        <f t="shared" si="82"/>
        <v>1.3986000000000001</v>
      </c>
      <c r="P105" s="35" t="s">
        <v>81</v>
      </c>
      <c r="Z105" s="33">
        <f t="shared" si="83"/>
        <v>0</v>
      </c>
      <c r="AB105" s="33">
        <f t="shared" si="84"/>
        <v>0</v>
      </c>
      <c r="AC105" s="33">
        <f t="shared" si="85"/>
        <v>0</v>
      </c>
      <c r="AD105" s="33">
        <f t="shared" si="86"/>
        <v>0</v>
      </c>
      <c r="AE105" s="33">
        <f t="shared" si="87"/>
        <v>0</v>
      </c>
      <c r="AF105" s="33">
        <f t="shared" si="88"/>
        <v>0</v>
      </c>
      <c r="AG105" s="33">
        <f t="shared" si="89"/>
        <v>0</v>
      </c>
      <c r="AH105" s="33">
        <f t="shared" si="90"/>
        <v>0</v>
      </c>
      <c r="AI105" s="13" t="s">
        <v>56</v>
      </c>
      <c r="AJ105" s="33">
        <f t="shared" si="91"/>
        <v>0</v>
      </c>
      <c r="AK105" s="33">
        <f t="shared" si="92"/>
        <v>0</v>
      </c>
      <c r="AL105" s="33">
        <f t="shared" si="93"/>
        <v>0</v>
      </c>
      <c r="AN105" s="33">
        <v>21</v>
      </c>
      <c r="AO105" s="33">
        <f t="shared" si="104"/>
        <v>0</v>
      </c>
      <c r="AP105" s="33">
        <f t="shared" si="105"/>
        <v>0</v>
      </c>
      <c r="AQ105" s="34" t="s">
        <v>59</v>
      </c>
      <c r="AV105" s="33">
        <f t="shared" si="94"/>
        <v>0</v>
      </c>
      <c r="AW105" s="33">
        <f t="shared" si="95"/>
        <v>0</v>
      </c>
      <c r="AX105" s="33">
        <f t="shared" si="96"/>
        <v>0</v>
      </c>
      <c r="AY105" s="34" t="s">
        <v>259</v>
      </c>
      <c r="AZ105" s="34" t="s">
        <v>199</v>
      </c>
      <c r="BA105" s="13" t="s">
        <v>66</v>
      </c>
      <c r="BC105" s="33">
        <f t="shared" si="97"/>
        <v>0</v>
      </c>
      <c r="BD105" s="33">
        <f t="shared" si="98"/>
        <v>0</v>
      </c>
      <c r="BE105" s="33">
        <v>0</v>
      </c>
      <c r="BF105" s="33">
        <f t="shared" si="99"/>
        <v>1.3986000000000001</v>
      </c>
      <c r="BH105" s="33">
        <f t="shared" si="100"/>
        <v>0</v>
      </c>
      <c r="BI105" s="33">
        <f t="shared" si="101"/>
        <v>0</v>
      </c>
      <c r="BJ105" s="33">
        <f t="shared" si="102"/>
        <v>0</v>
      </c>
      <c r="BK105" s="33"/>
      <c r="BL105" s="33"/>
      <c r="BW105" s="33" t="str">
        <f t="shared" si="103"/>
        <v>21</v>
      </c>
      <c r="BX105" s="5" t="s">
        <v>337</v>
      </c>
    </row>
    <row r="106" spans="1:76" ht="14.4" x14ac:dyDescent="0.3">
      <c r="A106" s="2" t="s">
        <v>338</v>
      </c>
      <c r="B106" s="3" t="s">
        <v>56</v>
      </c>
      <c r="C106" s="3" t="s">
        <v>339</v>
      </c>
      <c r="D106" s="106" t="s">
        <v>340</v>
      </c>
      <c r="E106" s="101"/>
      <c r="F106" s="3" t="s">
        <v>119</v>
      </c>
      <c r="G106" s="33">
        <v>137.78399999999999</v>
      </c>
      <c r="H106" s="95"/>
      <c r="I106" s="34" t="s">
        <v>63</v>
      </c>
      <c r="J106" s="33">
        <f t="shared" si="78"/>
        <v>0</v>
      </c>
      <c r="K106" s="33">
        <f t="shared" si="79"/>
        <v>0</v>
      </c>
      <c r="L106" s="33">
        <f t="shared" si="80"/>
        <v>0</v>
      </c>
      <c r="M106" s="33">
        <f t="shared" si="81"/>
        <v>0</v>
      </c>
      <c r="N106" s="33">
        <v>0</v>
      </c>
      <c r="O106" s="33">
        <f t="shared" si="82"/>
        <v>0</v>
      </c>
      <c r="P106" s="35" t="s">
        <v>64</v>
      </c>
      <c r="Z106" s="33">
        <f t="shared" si="83"/>
        <v>0</v>
      </c>
      <c r="AB106" s="33">
        <f t="shared" si="84"/>
        <v>0</v>
      </c>
      <c r="AC106" s="33">
        <f t="shared" si="85"/>
        <v>0</v>
      </c>
      <c r="AD106" s="33">
        <f t="shared" si="86"/>
        <v>0</v>
      </c>
      <c r="AE106" s="33">
        <f t="shared" si="87"/>
        <v>0</v>
      </c>
      <c r="AF106" s="33">
        <f t="shared" si="88"/>
        <v>0</v>
      </c>
      <c r="AG106" s="33">
        <f t="shared" si="89"/>
        <v>0</v>
      </c>
      <c r="AH106" s="33">
        <f t="shared" si="90"/>
        <v>0</v>
      </c>
      <c r="AI106" s="13" t="s">
        <v>56</v>
      </c>
      <c r="AJ106" s="33">
        <f t="shared" si="91"/>
        <v>0</v>
      </c>
      <c r="AK106" s="33">
        <f t="shared" si="92"/>
        <v>0</v>
      </c>
      <c r="AL106" s="33">
        <f t="shared" si="93"/>
        <v>0</v>
      </c>
      <c r="AN106" s="33">
        <v>21</v>
      </c>
      <c r="AO106" s="33">
        <f>H106*0</f>
        <v>0</v>
      </c>
      <c r="AP106" s="33">
        <f>H106*(1-0)</f>
        <v>0</v>
      </c>
      <c r="AQ106" s="34" t="s">
        <v>74</v>
      </c>
      <c r="AV106" s="33">
        <f t="shared" si="94"/>
        <v>0</v>
      </c>
      <c r="AW106" s="33">
        <f t="shared" si="95"/>
        <v>0</v>
      </c>
      <c r="AX106" s="33">
        <f t="shared" si="96"/>
        <v>0</v>
      </c>
      <c r="AY106" s="34" t="s">
        <v>259</v>
      </c>
      <c r="AZ106" s="34" t="s">
        <v>199</v>
      </c>
      <c r="BA106" s="13" t="s">
        <v>66</v>
      </c>
      <c r="BC106" s="33">
        <f t="shared" si="97"/>
        <v>0</v>
      </c>
      <c r="BD106" s="33">
        <f t="shared" si="98"/>
        <v>0</v>
      </c>
      <c r="BE106" s="33">
        <v>0</v>
      </c>
      <c r="BF106" s="33">
        <f t="shared" si="99"/>
        <v>0</v>
      </c>
      <c r="BH106" s="33">
        <f t="shared" si="100"/>
        <v>0</v>
      </c>
      <c r="BI106" s="33">
        <f t="shared" si="101"/>
        <v>0</v>
      </c>
      <c r="BJ106" s="33">
        <f t="shared" si="102"/>
        <v>0</v>
      </c>
      <c r="BK106" s="33"/>
      <c r="BL106" s="33"/>
      <c r="BW106" s="33" t="str">
        <f t="shared" si="103"/>
        <v>21</v>
      </c>
      <c r="BX106" s="5" t="s">
        <v>340</v>
      </c>
    </row>
    <row r="107" spans="1:76" ht="14.4" x14ac:dyDescent="0.3">
      <c r="A107" s="2" t="s">
        <v>341</v>
      </c>
      <c r="B107" s="3" t="s">
        <v>56</v>
      </c>
      <c r="C107" s="3" t="s">
        <v>342</v>
      </c>
      <c r="D107" s="106" t="s">
        <v>343</v>
      </c>
      <c r="E107" s="101"/>
      <c r="F107" s="3" t="s">
        <v>119</v>
      </c>
      <c r="G107" s="33">
        <v>45.927999999999997</v>
      </c>
      <c r="H107" s="95"/>
      <c r="I107" s="34" t="s">
        <v>63</v>
      </c>
      <c r="J107" s="33">
        <f t="shared" si="78"/>
        <v>0</v>
      </c>
      <c r="K107" s="33">
        <f t="shared" si="79"/>
        <v>0</v>
      </c>
      <c r="L107" s="33">
        <f t="shared" si="80"/>
        <v>0</v>
      </c>
      <c r="M107" s="33">
        <f t="shared" si="81"/>
        <v>0</v>
      </c>
      <c r="N107" s="33">
        <v>0</v>
      </c>
      <c r="O107" s="33">
        <f t="shared" si="82"/>
        <v>0</v>
      </c>
      <c r="P107" s="35" t="s">
        <v>64</v>
      </c>
      <c r="Z107" s="33">
        <f t="shared" si="83"/>
        <v>0</v>
      </c>
      <c r="AB107" s="33">
        <f t="shared" si="84"/>
        <v>0</v>
      </c>
      <c r="AC107" s="33">
        <f t="shared" si="85"/>
        <v>0</v>
      </c>
      <c r="AD107" s="33">
        <f t="shared" si="86"/>
        <v>0</v>
      </c>
      <c r="AE107" s="33">
        <f t="shared" si="87"/>
        <v>0</v>
      </c>
      <c r="AF107" s="33">
        <f t="shared" si="88"/>
        <v>0</v>
      </c>
      <c r="AG107" s="33">
        <f t="shared" si="89"/>
        <v>0</v>
      </c>
      <c r="AH107" s="33">
        <f t="shared" si="90"/>
        <v>0</v>
      </c>
      <c r="AI107" s="13" t="s">
        <v>56</v>
      </c>
      <c r="AJ107" s="33">
        <f t="shared" si="91"/>
        <v>0</v>
      </c>
      <c r="AK107" s="33">
        <f t="shared" si="92"/>
        <v>0</v>
      </c>
      <c r="AL107" s="33">
        <f t="shared" si="93"/>
        <v>0</v>
      </c>
      <c r="AN107" s="33">
        <v>21</v>
      </c>
      <c r="AO107" s="33">
        <f>H107*0</f>
        <v>0</v>
      </c>
      <c r="AP107" s="33">
        <f>H107*(1-0)</f>
        <v>0</v>
      </c>
      <c r="AQ107" s="34" t="s">
        <v>74</v>
      </c>
      <c r="AV107" s="33">
        <f t="shared" si="94"/>
        <v>0</v>
      </c>
      <c r="AW107" s="33">
        <f t="shared" si="95"/>
        <v>0</v>
      </c>
      <c r="AX107" s="33">
        <f t="shared" si="96"/>
        <v>0</v>
      </c>
      <c r="AY107" s="34" t="s">
        <v>259</v>
      </c>
      <c r="AZ107" s="34" t="s">
        <v>199</v>
      </c>
      <c r="BA107" s="13" t="s">
        <v>66</v>
      </c>
      <c r="BC107" s="33">
        <f t="shared" si="97"/>
        <v>0</v>
      </c>
      <c r="BD107" s="33">
        <f t="shared" si="98"/>
        <v>0</v>
      </c>
      <c r="BE107" s="33">
        <v>0</v>
      </c>
      <c r="BF107" s="33">
        <f t="shared" si="99"/>
        <v>0</v>
      </c>
      <c r="BH107" s="33">
        <f t="shared" si="100"/>
        <v>0</v>
      </c>
      <c r="BI107" s="33">
        <f t="shared" si="101"/>
        <v>0</v>
      </c>
      <c r="BJ107" s="33">
        <f t="shared" si="102"/>
        <v>0</v>
      </c>
      <c r="BK107" s="33"/>
      <c r="BL107" s="33"/>
      <c r="BW107" s="33" t="str">
        <f t="shared" si="103"/>
        <v>21</v>
      </c>
      <c r="BX107" s="5" t="s">
        <v>343</v>
      </c>
    </row>
    <row r="108" spans="1:76" ht="14.4" x14ac:dyDescent="0.3">
      <c r="A108" s="2" t="s">
        <v>344</v>
      </c>
      <c r="B108" s="3" t="s">
        <v>56</v>
      </c>
      <c r="C108" s="3" t="s">
        <v>345</v>
      </c>
      <c r="D108" s="106" t="s">
        <v>346</v>
      </c>
      <c r="E108" s="101"/>
      <c r="F108" s="3" t="s">
        <v>119</v>
      </c>
      <c r="G108" s="33">
        <v>1837.12</v>
      </c>
      <c r="H108" s="95"/>
      <c r="I108" s="34" t="s">
        <v>63</v>
      </c>
      <c r="J108" s="33">
        <f t="shared" si="78"/>
        <v>0</v>
      </c>
      <c r="K108" s="33">
        <f t="shared" si="79"/>
        <v>0</v>
      </c>
      <c r="L108" s="33">
        <f t="shared" si="80"/>
        <v>0</v>
      </c>
      <c r="M108" s="33">
        <f t="shared" si="81"/>
        <v>0</v>
      </c>
      <c r="N108" s="33">
        <v>0</v>
      </c>
      <c r="O108" s="33">
        <f t="shared" si="82"/>
        <v>0</v>
      </c>
      <c r="P108" s="35" t="s">
        <v>64</v>
      </c>
      <c r="Z108" s="33">
        <f t="shared" si="83"/>
        <v>0</v>
      </c>
      <c r="AB108" s="33">
        <f t="shared" si="84"/>
        <v>0</v>
      </c>
      <c r="AC108" s="33">
        <f t="shared" si="85"/>
        <v>0</v>
      </c>
      <c r="AD108" s="33">
        <f t="shared" si="86"/>
        <v>0</v>
      </c>
      <c r="AE108" s="33">
        <f t="shared" si="87"/>
        <v>0</v>
      </c>
      <c r="AF108" s="33">
        <f t="shared" si="88"/>
        <v>0</v>
      </c>
      <c r="AG108" s="33">
        <f t="shared" si="89"/>
        <v>0</v>
      </c>
      <c r="AH108" s="33">
        <f t="shared" si="90"/>
        <v>0</v>
      </c>
      <c r="AI108" s="13" t="s">
        <v>56</v>
      </c>
      <c r="AJ108" s="33">
        <f t="shared" si="91"/>
        <v>0</v>
      </c>
      <c r="AK108" s="33">
        <f t="shared" si="92"/>
        <v>0</v>
      </c>
      <c r="AL108" s="33">
        <f t="shared" si="93"/>
        <v>0</v>
      </c>
      <c r="AN108" s="33">
        <v>21</v>
      </c>
      <c r="AO108" s="33">
        <f>H108*0</f>
        <v>0</v>
      </c>
      <c r="AP108" s="33">
        <f>H108*(1-0)</f>
        <v>0</v>
      </c>
      <c r="AQ108" s="34" t="s">
        <v>74</v>
      </c>
      <c r="AV108" s="33">
        <f t="shared" si="94"/>
        <v>0</v>
      </c>
      <c r="AW108" s="33">
        <f t="shared" si="95"/>
        <v>0</v>
      </c>
      <c r="AX108" s="33">
        <f t="shared" si="96"/>
        <v>0</v>
      </c>
      <c r="AY108" s="34" t="s">
        <v>259</v>
      </c>
      <c r="AZ108" s="34" t="s">
        <v>199</v>
      </c>
      <c r="BA108" s="13" t="s">
        <v>66</v>
      </c>
      <c r="BC108" s="33">
        <f t="shared" si="97"/>
        <v>0</v>
      </c>
      <c r="BD108" s="33">
        <f t="shared" si="98"/>
        <v>0</v>
      </c>
      <c r="BE108" s="33">
        <v>0</v>
      </c>
      <c r="BF108" s="33">
        <f t="shared" si="99"/>
        <v>0</v>
      </c>
      <c r="BH108" s="33">
        <f t="shared" si="100"/>
        <v>0</v>
      </c>
      <c r="BI108" s="33">
        <f t="shared" si="101"/>
        <v>0</v>
      </c>
      <c r="BJ108" s="33">
        <f t="shared" si="102"/>
        <v>0</v>
      </c>
      <c r="BK108" s="33"/>
      <c r="BL108" s="33"/>
      <c r="BW108" s="33" t="str">
        <f t="shared" si="103"/>
        <v>21</v>
      </c>
      <c r="BX108" s="5" t="s">
        <v>346</v>
      </c>
    </row>
    <row r="109" spans="1:76" ht="14.4" x14ac:dyDescent="0.3">
      <c r="A109" s="2" t="s">
        <v>347</v>
      </c>
      <c r="B109" s="3" t="s">
        <v>56</v>
      </c>
      <c r="C109" s="3" t="s">
        <v>190</v>
      </c>
      <c r="D109" s="106" t="s">
        <v>191</v>
      </c>
      <c r="E109" s="101"/>
      <c r="F109" s="3" t="s">
        <v>119</v>
      </c>
      <c r="G109" s="33">
        <v>45.927999999999997</v>
      </c>
      <c r="H109" s="95"/>
      <c r="I109" s="34" t="s">
        <v>63</v>
      </c>
      <c r="J109" s="33">
        <f t="shared" si="78"/>
        <v>0</v>
      </c>
      <c r="K109" s="33">
        <f t="shared" si="79"/>
        <v>0</v>
      </c>
      <c r="L109" s="33">
        <f t="shared" si="80"/>
        <v>0</v>
      </c>
      <c r="M109" s="33">
        <f t="shared" si="81"/>
        <v>0</v>
      </c>
      <c r="N109" s="33">
        <v>0</v>
      </c>
      <c r="O109" s="33">
        <f t="shared" si="82"/>
        <v>0</v>
      </c>
      <c r="P109" s="35" t="s">
        <v>64</v>
      </c>
      <c r="Z109" s="33">
        <f t="shared" si="83"/>
        <v>0</v>
      </c>
      <c r="AB109" s="33">
        <f t="shared" si="84"/>
        <v>0</v>
      </c>
      <c r="AC109" s="33">
        <f t="shared" si="85"/>
        <v>0</v>
      </c>
      <c r="AD109" s="33">
        <f t="shared" si="86"/>
        <v>0</v>
      </c>
      <c r="AE109" s="33">
        <f t="shared" si="87"/>
        <v>0</v>
      </c>
      <c r="AF109" s="33">
        <f t="shared" si="88"/>
        <v>0</v>
      </c>
      <c r="AG109" s="33">
        <f t="shared" si="89"/>
        <v>0</v>
      </c>
      <c r="AH109" s="33">
        <f t="shared" si="90"/>
        <v>0</v>
      </c>
      <c r="AI109" s="13" t="s">
        <v>56</v>
      </c>
      <c r="AJ109" s="33">
        <f t="shared" si="91"/>
        <v>0</v>
      </c>
      <c r="AK109" s="33">
        <f t="shared" si="92"/>
        <v>0</v>
      </c>
      <c r="AL109" s="33">
        <f t="shared" si="93"/>
        <v>0</v>
      </c>
      <c r="AN109" s="33">
        <v>21</v>
      </c>
      <c r="AO109" s="33">
        <f>H109*0</f>
        <v>0</v>
      </c>
      <c r="AP109" s="33">
        <f>H109*(1-0)</f>
        <v>0</v>
      </c>
      <c r="AQ109" s="34" t="s">
        <v>74</v>
      </c>
      <c r="AV109" s="33">
        <f t="shared" si="94"/>
        <v>0</v>
      </c>
      <c r="AW109" s="33">
        <f t="shared" si="95"/>
        <v>0</v>
      </c>
      <c r="AX109" s="33">
        <f t="shared" si="96"/>
        <v>0</v>
      </c>
      <c r="AY109" s="34" t="s">
        <v>259</v>
      </c>
      <c r="AZ109" s="34" t="s">
        <v>199</v>
      </c>
      <c r="BA109" s="13" t="s">
        <v>66</v>
      </c>
      <c r="BC109" s="33">
        <f t="shared" si="97"/>
        <v>0</v>
      </c>
      <c r="BD109" s="33">
        <f t="shared" si="98"/>
        <v>0</v>
      </c>
      <c r="BE109" s="33">
        <v>0</v>
      </c>
      <c r="BF109" s="33">
        <f t="shared" si="99"/>
        <v>0</v>
      </c>
      <c r="BH109" s="33">
        <f t="shared" si="100"/>
        <v>0</v>
      </c>
      <c r="BI109" s="33">
        <f t="shared" si="101"/>
        <v>0</v>
      </c>
      <c r="BJ109" s="33">
        <f t="shared" si="102"/>
        <v>0</v>
      </c>
      <c r="BK109" s="33"/>
      <c r="BL109" s="33"/>
      <c r="BW109" s="33" t="str">
        <f t="shared" si="103"/>
        <v>21</v>
      </c>
      <c r="BX109" s="5" t="s">
        <v>191</v>
      </c>
    </row>
    <row r="110" spans="1:76" ht="14.4" x14ac:dyDescent="0.3">
      <c r="A110" s="36" t="s">
        <v>56</v>
      </c>
      <c r="B110" s="37" t="s">
        <v>56</v>
      </c>
      <c r="C110" s="37" t="s">
        <v>348</v>
      </c>
      <c r="D110" s="125" t="s">
        <v>349</v>
      </c>
      <c r="E110" s="126"/>
      <c r="F110" s="39" t="s">
        <v>4</v>
      </c>
      <c r="G110" s="39" t="s">
        <v>4</v>
      </c>
      <c r="H110" s="39" t="s">
        <v>4</v>
      </c>
      <c r="I110" s="39" t="s">
        <v>4</v>
      </c>
      <c r="J110" s="1">
        <f>SUM(J111:J112)</f>
        <v>0</v>
      </c>
      <c r="K110" s="1">
        <f>SUM(K111:K112)</f>
        <v>0</v>
      </c>
      <c r="L110" s="1">
        <f>SUM(L111:L112)</f>
        <v>0</v>
      </c>
      <c r="M110" s="1">
        <f>SUM(M111:M112)</f>
        <v>0</v>
      </c>
      <c r="N110" s="13" t="s">
        <v>56</v>
      </c>
      <c r="O110" s="1">
        <f>SUM(O111:O112)</f>
        <v>4.4128999999999996</v>
      </c>
      <c r="P110" s="40" t="s">
        <v>56</v>
      </c>
      <c r="AI110" s="13" t="s">
        <v>56</v>
      </c>
      <c r="AS110" s="1">
        <f>SUM(AJ111:AJ112)</f>
        <v>0</v>
      </c>
      <c r="AT110" s="1">
        <f>SUM(AK111:AK112)</f>
        <v>0</v>
      </c>
      <c r="AU110" s="1">
        <f>SUM(AL111:AL112)</f>
        <v>0</v>
      </c>
    </row>
    <row r="111" spans="1:76" ht="14.4" x14ac:dyDescent="0.3">
      <c r="A111" s="2" t="s">
        <v>350</v>
      </c>
      <c r="B111" s="3" t="s">
        <v>56</v>
      </c>
      <c r="C111" s="3" t="s">
        <v>351</v>
      </c>
      <c r="D111" s="106" t="s">
        <v>352</v>
      </c>
      <c r="E111" s="101"/>
      <c r="F111" s="3" t="s">
        <v>80</v>
      </c>
      <c r="G111" s="33">
        <v>30</v>
      </c>
      <c r="H111" s="95"/>
      <c r="I111" s="34" t="s">
        <v>63</v>
      </c>
      <c r="J111" s="33">
        <f>G111*AO111</f>
        <v>0</v>
      </c>
      <c r="K111" s="33">
        <f>G111*AP111</f>
        <v>0</v>
      </c>
      <c r="L111" s="33">
        <f>G111*H111</f>
        <v>0</v>
      </c>
      <c r="M111" s="33">
        <f>L111*(1+BW111/100)</f>
        <v>0</v>
      </c>
      <c r="N111" s="33">
        <v>0</v>
      </c>
      <c r="O111" s="33">
        <f>G111*N111</f>
        <v>0</v>
      </c>
      <c r="P111" s="35" t="s">
        <v>81</v>
      </c>
      <c r="Z111" s="33">
        <f>IF(AQ111="5",BJ111,0)</f>
        <v>0</v>
      </c>
      <c r="AB111" s="33">
        <f>IF(AQ111="1",BH111,0)</f>
        <v>0</v>
      </c>
      <c r="AC111" s="33">
        <f>IF(AQ111="1",BI111,0)</f>
        <v>0</v>
      </c>
      <c r="AD111" s="33">
        <f>IF(AQ111="7",BH111,0)</f>
        <v>0</v>
      </c>
      <c r="AE111" s="33">
        <f>IF(AQ111="7",BI111,0)</f>
        <v>0</v>
      </c>
      <c r="AF111" s="33">
        <f>IF(AQ111="2",BH111,0)</f>
        <v>0</v>
      </c>
      <c r="AG111" s="33">
        <f>IF(AQ111="2",BI111,0)</f>
        <v>0</v>
      </c>
      <c r="AH111" s="33">
        <f>IF(AQ111="0",BJ111,0)</f>
        <v>0</v>
      </c>
      <c r="AI111" s="13" t="s">
        <v>56</v>
      </c>
      <c r="AJ111" s="33">
        <f>IF(AN111=0,L111,0)</f>
        <v>0</v>
      </c>
      <c r="AK111" s="33">
        <f>IF(AN111=12,L111,0)</f>
        <v>0</v>
      </c>
      <c r="AL111" s="33">
        <f>IF(AN111=21,L111,0)</f>
        <v>0</v>
      </c>
      <c r="AN111" s="33">
        <v>21</v>
      </c>
      <c r="AO111" s="33">
        <f>H111*0</f>
        <v>0</v>
      </c>
      <c r="AP111" s="33">
        <f>H111*(1-0)</f>
        <v>0</v>
      </c>
      <c r="AQ111" s="34" t="s">
        <v>67</v>
      </c>
      <c r="AV111" s="33">
        <f>AW111+AX111</f>
        <v>0</v>
      </c>
      <c r="AW111" s="33">
        <f>G111*AO111</f>
        <v>0</v>
      </c>
      <c r="AX111" s="33">
        <f>G111*AP111</f>
        <v>0</v>
      </c>
      <c r="AY111" s="34" t="s">
        <v>353</v>
      </c>
      <c r="AZ111" s="34" t="s">
        <v>199</v>
      </c>
      <c r="BA111" s="13" t="s">
        <v>66</v>
      </c>
      <c r="BC111" s="33">
        <f>AW111+AX111</f>
        <v>0</v>
      </c>
      <c r="BD111" s="33">
        <f>H111/(100-BE111)*100</f>
        <v>0</v>
      </c>
      <c r="BE111" s="33">
        <v>0</v>
      </c>
      <c r="BF111" s="33">
        <f>O111</f>
        <v>0</v>
      </c>
      <c r="BH111" s="33">
        <f>G111*AO111</f>
        <v>0</v>
      </c>
      <c r="BI111" s="33">
        <f>G111*AP111</f>
        <v>0</v>
      </c>
      <c r="BJ111" s="33">
        <f>G111*H111</f>
        <v>0</v>
      </c>
      <c r="BK111" s="33"/>
      <c r="BL111" s="33"/>
      <c r="BW111" s="33" t="str">
        <f>I111</f>
        <v>21</v>
      </c>
      <c r="BX111" s="5" t="s">
        <v>352</v>
      </c>
    </row>
    <row r="112" spans="1:76" ht="14.4" x14ac:dyDescent="0.3">
      <c r="A112" s="41" t="s">
        <v>354</v>
      </c>
      <c r="B112" s="42" t="s">
        <v>56</v>
      </c>
      <c r="C112" s="42" t="s">
        <v>355</v>
      </c>
      <c r="D112" s="127" t="s">
        <v>356</v>
      </c>
      <c r="E112" s="128"/>
      <c r="F112" s="42" t="s">
        <v>119</v>
      </c>
      <c r="G112" s="44">
        <v>4.4128999999999996</v>
      </c>
      <c r="H112" s="96"/>
      <c r="I112" s="45" t="s">
        <v>63</v>
      </c>
      <c r="J112" s="44">
        <f>G112*AO112</f>
        <v>0</v>
      </c>
      <c r="K112" s="44">
        <f>G112*AP112</f>
        <v>0</v>
      </c>
      <c r="L112" s="44">
        <f>G112*H112</f>
        <v>0</v>
      </c>
      <c r="M112" s="44">
        <f>L112*(1+BW112/100)</f>
        <v>0</v>
      </c>
      <c r="N112" s="44">
        <v>1</v>
      </c>
      <c r="O112" s="44">
        <f>G112*N112</f>
        <v>4.4128999999999996</v>
      </c>
      <c r="P112" s="46" t="s">
        <v>81</v>
      </c>
      <c r="Z112" s="33">
        <f>IF(AQ112="5",BJ112,0)</f>
        <v>0</v>
      </c>
      <c r="AB112" s="33">
        <f>IF(AQ112="1",BH112,0)</f>
        <v>0</v>
      </c>
      <c r="AC112" s="33">
        <f>IF(AQ112="1",BI112,0)</f>
        <v>0</v>
      </c>
      <c r="AD112" s="33">
        <f>IF(AQ112="7",BH112,0)</f>
        <v>0</v>
      </c>
      <c r="AE112" s="33">
        <f>IF(AQ112="7",BI112,0)</f>
        <v>0</v>
      </c>
      <c r="AF112" s="33">
        <f>IF(AQ112="2",BH112,0)</f>
        <v>0</v>
      </c>
      <c r="AG112" s="33">
        <f>IF(AQ112="2",BI112,0)</f>
        <v>0</v>
      </c>
      <c r="AH112" s="33">
        <f>IF(AQ112="0",BJ112,0)</f>
        <v>0</v>
      </c>
      <c r="AI112" s="13" t="s">
        <v>56</v>
      </c>
      <c r="AJ112" s="33">
        <f>IF(AN112=0,L112,0)</f>
        <v>0</v>
      </c>
      <c r="AK112" s="33">
        <f>IF(AN112=12,L112,0)</f>
        <v>0</v>
      </c>
      <c r="AL112" s="33">
        <f>IF(AN112=21,L112,0)</f>
        <v>0</v>
      </c>
      <c r="AN112" s="33">
        <v>21</v>
      </c>
      <c r="AO112" s="33">
        <f>H112*1</f>
        <v>0</v>
      </c>
      <c r="AP112" s="33">
        <f>H112*(1-1)</f>
        <v>0</v>
      </c>
      <c r="AQ112" s="34" t="s">
        <v>59</v>
      </c>
      <c r="AV112" s="33">
        <f>AW112+AX112</f>
        <v>0</v>
      </c>
      <c r="AW112" s="33">
        <f>G112*AO112</f>
        <v>0</v>
      </c>
      <c r="AX112" s="33">
        <f>G112*AP112</f>
        <v>0</v>
      </c>
      <c r="AY112" s="34" t="s">
        <v>353</v>
      </c>
      <c r="AZ112" s="34" t="s">
        <v>199</v>
      </c>
      <c r="BA112" s="13" t="s">
        <v>66</v>
      </c>
      <c r="BC112" s="33">
        <f>AW112+AX112</f>
        <v>0</v>
      </c>
      <c r="BD112" s="33">
        <f>H112/(100-BE112)*100</f>
        <v>0</v>
      </c>
      <c r="BE112" s="33">
        <v>0</v>
      </c>
      <c r="BF112" s="33">
        <f>O112</f>
        <v>4.4128999999999996</v>
      </c>
      <c r="BH112" s="33">
        <f>G112*AO112</f>
        <v>0</v>
      </c>
      <c r="BI112" s="33">
        <f>G112*AP112</f>
        <v>0</v>
      </c>
      <c r="BJ112" s="33">
        <f>G112*H112</f>
        <v>0</v>
      </c>
      <c r="BK112" s="33"/>
      <c r="BL112" s="33"/>
      <c r="BW112" s="33" t="str">
        <f>I112</f>
        <v>21</v>
      </c>
      <c r="BX112" s="5" t="s">
        <v>356</v>
      </c>
    </row>
    <row r="113" spans="1:16" ht="14.4" x14ac:dyDescent="0.3">
      <c r="J113" s="129" t="s">
        <v>357</v>
      </c>
      <c r="K113" s="129"/>
      <c r="L113" s="48">
        <f>ROUND(L12+L18+L20+L22+L24+L27+L29+L31+L34+L41+L43+L48+L56+L60+L62+L67+L76+L110,0)</f>
        <v>0</v>
      </c>
      <c r="M113" s="48">
        <f>ROUND(M12+M18+M20+M22+M24+M27+M29+M31+M34+M41+M43+M48+M56+M60+M62+M67+M76+M110,0)</f>
        <v>0</v>
      </c>
    </row>
    <row r="114" spans="1:16" ht="14.4" x14ac:dyDescent="0.3">
      <c r="A114" s="49" t="s">
        <v>358</v>
      </c>
    </row>
    <row r="115" spans="1:16" ht="12.75" customHeight="1" x14ac:dyDescent="0.3">
      <c r="A115" s="106" t="s">
        <v>56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</row>
  </sheetData>
  <mergeCells count="132">
    <mergeCell ref="D111:E111"/>
    <mergeCell ref="D112:E112"/>
    <mergeCell ref="J113:K113"/>
    <mergeCell ref="A115:P115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E75"/>
    <mergeCell ref="D67:E67"/>
    <mergeCell ref="D68:E68"/>
    <mergeCell ref="D69:E69"/>
    <mergeCell ref="D70:E70"/>
    <mergeCell ref="D64:E64"/>
    <mergeCell ref="D65:E65"/>
    <mergeCell ref="D66:E66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K2:P3"/>
    <mergeCell ref="K4:P5"/>
    <mergeCell ref="K6:P7"/>
    <mergeCell ref="K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J3"/>
    <mergeCell ref="I4:J5"/>
    <mergeCell ref="I6:J7"/>
    <mergeCell ref="I8:J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113"/>
  <sheetViews>
    <sheetView topLeftCell="A49" workbookViewId="0">
      <selection activeCell="A66" sqref="A66:XFD68"/>
    </sheetView>
  </sheetViews>
  <sheetFormatPr defaultColWidth="12.109375" defaultRowHeight="15" customHeight="1" x14ac:dyDescent="0.3"/>
  <cols>
    <col min="1" max="1" width="4.33203125" customWidth="1"/>
    <col min="2" max="2" width="17.109375" customWidth="1"/>
    <col min="3" max="3" width="71.44140625" customWidth="1"/>
    <col min="4" max="4" width="4.33203125" customWidth="1"/>
    <col min="5" max="5" width="12.88671875" customWidth="1"/>
    <col min="6" max="9" width="22.88671875" customWidth="1"/>
    <col min="10" max="10" width="23.5546875" customWidth="1"/>
    <col min="11" max="11" width="22.109375" customWidth="1"/>
    <col min="230" max="231" width="12.109375" hidden="1"/>
    <col min="251" max="254" width="12.109375" hidden="1"/>
  </cols>
  <sheetData>
    <row r="1" spans="1:253" ht="54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53" ht="14.4" x14ac:dyDescent="0.3">
      <c r="A2" s="98" t="s">
        <v>1</v>
      </c>
      <c r="B2" s="99"/>
      <c r="C2" s="107" t="str">
        <f>'Stavební rozpočet'!D2</f>
        <v>SO-01 Výstavba rozhledny na Jitrovníku  Šluknov</v>
      </c>
      <c r="D2" s="99" t="s">
        <v>3</v>
      </c>
      <c r="E2" s="99"/>
      <c r="F2" s="105" t="str">
        <f>'Stavební rozpočet'!H2</f>
        <v xml:space="preserve"> </v>
      </c>
      <c r="G2" s="105" t="s">
        <v>5</v>
      </c>
      <c r="H2" s="105" t="str">
        <f>'Stavební rozpočet'!K2</f>
        <v>Město Šluknov nám. Míru 1, 407 47 Šluknov</v>
      </c>
      <c r="I2" s="99"/>
      <c r="J2" s="99"/>
      <c r="K2" s="120"/>
    </row>
    <row r="3" spans="1:253" ht="15" customHeight="1" x14ac:dyDescent="0.3">
      <c r="A3" s="100"/>
      <c r="B3" s="101"/>
      <c r="C3" s="109"/>
      <c r="D3" s="101"/>
      <c r="E3" s="101"/>
      <c r="F3" s="101"/>
      <c r="G3" s="101"/>
      <c r="H3" s="101"/>
      <c r="I3" s="101"/>
      <c r="J3" s="101"/>
      <c r="K3" s="121"/>
    </row>
    <row r="4" spans="1:253" ht="14.4" x14ac:dyDescent="0.3">
      <c r="A4" s="102" t="s">
        <v>7</v>
      </c>
      <c r="B4" s="101"/>
      <c r="C4" s="106" t="str">
        <f>'Stavební rozpočet'!D4</f>
        <v>Rozhledna</v>
      </c>
      <c r="D4" s="101" t="s">
        <v>9</v>
      </c>
      <c r="E4" s="101"/>
      <c r="F4" s="106" t="str">
        <f>'Stavební rozpočet'!H4</f>
        <v xml:space="preserve"> </v>
      </c>
      <c r="G4" s="106" t="s">
        <v>10</v>
      </c>
      <c r="H4" s="106" t="str">
        <f>'Stavební rozpočet'!K4</f>
        <v>Ing. arch . Tomáš Beneš ve Strouhách 969/13 Praha</v>
      </c>
      <c r="I4" s="101"/>
      <c r="J4" s="101"/>
      <c r="K4" s="121"/>
    </row>
    <row r="5" spans="1:253" ht="15" customHeigh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21"/>
    </row>
    <row r="6" spans="1:253" ht="14.4" x14ac:dyDescent="0.3">
      <c r="A6" s="102" t="s">
        <v>12</v>
      </c>
      <c r="B6" s="101"/>
      <c r="C6" s="106" t="str">
        <f>'Stavební rozpočet'!D6</f>
        <v>Jitrovník</v>
      </c>
      <c r="D6" s="101" t="s">
        <v>14</v>
      </c>
      <c r="E6" s="101"/>
      <c r="F6" s="106" t="str">
        <f>'Stavební rozpočet'!H6</f>
        <v xml:space="preserve"> </v>
      </c>
      <c r="G6" s="106" t="s">
        <v>15</v>
      </c>
      <c r="H6" s="106" t="str">
        <f>'Stavební rozpočet'!K6</f>
        <v>Bude vybrán investorem</v>
      </c>
      <c r="I6" s="101"/>
      <c r="J6" s="101"/>
      <c r="K6" s="121"/>
    </row>
    <row r="7" spans="1:253" ht="15" customHeight="1" x14ac:dyDescent="0.3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21"/>
    </row>
    <row r="8" spans="1:253" ht="14.4" x14ac:dyDescent="0.3">
      <c r="A8" s="102" t="s">
        <v>17</v>
      </c>
      <c r="B8" s="101"/>
      <c r="C8" s="106" t="str">
        <f>'Stavební rozpočet'!D8</f>
        <v xml:space="preserve"> </v>
      </c>
      <c r="D8" s="101" t="s">
        <v>18</v>
      </c>
      <c r="E8" s="101"/>
      <c r="F8" s="106" t="str">
        <f>'Stavební rozpočet'!H8</f>
        <v>06.10.2023</v>
      </c>
      <c r="G8" s="106" t="s">
        <v>20</v>
      </c>
      <c r="H8" s="106" t="str">
        <f>'Stavební rozpočet'!K8</f>
        <v> </v>
      </c>
      <c r="I8" s="101"/>
      <c r="J8" s="101"/>
      <c r="K8" s="121"/>
    </row>
    <row r="9" spans="1:253" ht="14.4" x14ac:dyDescent="0.3">
      <c r="A9" s="130"/>
      <c r="B9" s="128"/>
      <c r="C9" s="128"/>
      <c r="D9" s="128"/>
      <c r="E9" s="128"/>
      <c r="F9" s="128"/>
      <c r="G9" s="128"/>
      <c r="H9" s="128"/>
      <c r="I9" s="128"/>
      <c r="J9" s="128"/>
      <c r="K9" s="131"/>
    </row>
    <row r="10" spans="1:253" ht="14.4" x14ac:dyDescent="0.3">
      <c r="A10" s="50" t="s">
        <v>22</v>
      </c>
      <c r="B10" s="50" t="s">
        <v>24</v>
      </c>
      <c r="C10" s="50" t="s">
        <v>25</v>
      </c>
      <c r="D10" s="50" t="s">
        <v>26</v>
      </c>
      <c r="E10" s="50" t="s">
        <v>27</v>
      </c>
      <c r="F10" s="50" t="s">
        <v>359</v>
      </c>
      <c r="G10" s="50" t="s">
        <v>360</v>
      </c>
      <c r="H10" s="50" t="s">
        <v>361</v>
      </c>
      <c r="I10" s="50" t="s">
        <v>362</v>
      </c>
      <c r="J10" s="50" t="s">
        <v>363</v>
      </c>
      <c r="K10" s="51" t="s">
        <v>364</v>
      </c>
      <c r="HV10" s="52" t="s">
        <v>34</v>
      </c>
      <c r="HW10" s="52" t="s">
        <v>33</v>
      </c>
    </row>
    <row r="11" spans="1:253" ht="14.4" x14ac:dyDescent="0.3">
      <c r="A11" s="53" t="s">
        <v>4</v>
      </c>
      <c r="B11" s="27" t="s">
        <v>57</v>
      </c>
      <c r="C11" s="28" t="s">
        <v>58</v>
      </c>
      <c r="D11" s="27" t="s">
        <v>4</v>
      </c>
      <c r="E11" s="31" t="s">
        <v>4</v>
      </c>
      <c r="F11" s="31" t="s">
        <v>4</v>
      </c>
      <c r="G11" s="30">
        <f>SUM(G12:G16)</f>
        <v>0</v>
      </c>
      <c r="H11" s="30">
        <f>SUM(H12:H16)</f>
        <v>0</v>
      </c>
      <c r="I11" s="30">
        <f>SUM(I12:I16)</f>
        <v>0</v>
      </c>
      <c r="J11" s="31" t="s">
        <v>4</v>
      </c>
      <c r="K11" s="54">
        <f>SUM(K12:K16)</f>
        <v>0</v>
      </c>
    </row>
    <row r="12" spans="1:253" ht="14.4" x14ac:dyDescent="0.3">
      <c r="A12" s="55">
        <v>1</v>
      </c>
      <c r="B12" s="3" t="s">
        <v>60</v>
      </c>
      <c r="C12" s="5" t="s">
        <v>61</v>
      </c>
      <c r="D12" s="3" t="s">
        <v>62</v>
      </c>
      <c r="E12" s="33">
        <f>'Stavební rozpočet'!G13</f>
        <v>1</v>
      </c>
      <c r="F12" s="33">
        <f>'Stavební rozpočet'!H13</f>
        <v>0</v>
      </c>
      <c r="G12" s="33">
        <f>IR12*E12</f>
        <v>0</v>
      </c>
      <c r="H12" s="33">
        <f>IS12*E12</f>
        <v>0</v>
      </c>
      <c r="I12" s="33">
        <f>IR12*E12+IS12*E12</f>
        <v>0</v>
      </c>
      <c r="J12" s="33">
        <f>'Stavební rozpočet'!N13</f>
        <v>0</v>
      </c>
      <c r="K12" s="56">
        <f>J12*E12</f>
        <v>0</v>
      </c>
      <c r="HV12" s="3" t="s">
        <v>57</v>
      </c>
      <c r="HW12" s="3" t="s">
        <v>365</v>
      </c>
      <c r="IR12" s="57">
        <f>F12*0</f>
        <v>0</v>
      </c>
      <c r="IS12" s="57">
        <f>F12*(1-0)</f>
        <v>0</v>
      </c>
    </row>
    <row r="13" spans="1:253" ht="14.4" x14ac:dyDescent="0.3">
      <c r="A13" s="55">
        <v>2</v>
      </c>
      <c r="B13" s="3" t="s">
        <v>68</v>
      </c>
      <c r="C13" s="5" t="s">
        <v>69</v>
      </c>
      <c r="D13" s="3" t="s">
        <v>62</v>
      </c>
      <c r="E13" s="33">
        <f>'Stavební rozpočet'!G14</f>
        <v>1</v>
      </c>
      <c r="F13" s="33">
        <f>'Stavební rozpočet'!H14</f>
        <v>0</v>
      </c>
      <c r="G13" s="33">
        <f>IR13*E13</f>
        <v>0</v>
      </c>
      <c r="H13" s="33">
        <f>IS13*E13</f>
        <v>0</v>
      </c>
      <c r="I13" s="33">
        <f>IR13*E13+IS13*E13</f>
        <v>0</v>
      </c>
      <c r="J13" s="33">
        <f>'Stavební rozpočet'!N14</f>
        <v>0</v>
      </c>
      <c r="K13" s="56">
        <f>J13*E13</f>
        <v>0</v>
      </c>
      <c r="HV13" s="3" t="s">
        <v>57</v>
      </c>
      <c r="HW13" s="3" t="s">
        <v>365</v>
      </c>
      <c r="IR13" s="57">
        <f>F13*0</f>
        <v>0</v>
      </c>
      <c r="IS13" s="57">
        <f>F13*(1-0)</f>
        <v>0</v>
      </c>
    </row>
    <row r="14" spans="1:253" ht="14.4" x14ac:dyDescent="0.3">
      <c r="A14" s="55">
        <v>3</v>
      </c>
      <c r="B14" s="3" t="s">
        <v>60</v>
      </c>
      <c r="C14" s="5" t="s">
        <v>71</v>
      </c>
      <c r="D14" s="3" t="s">
        <v>62</v>
      </c>
      <c r="E14" s="33">
        <f>'Stavební rozpočet'!G15</f>
        <v>1</v>
      </c>
      <c r="F14" s="33">
        <f>'Stavební rozpočet'!H15</f>
        <v>0</v>
      </c>
      <c r="G14" s="33">
        <f>IR14*E14</f>
        <v>0</v>
      </c>
      <c r="H14" s="33">
        <f>IS14*E14</f>
        <v>0</v>
      </c>
      <c r="I14" s="33">
        <f>IR14*E14+IS14*E14</f>
        <v>0</v>
      </c>
      <c r="J14" s="33">
        <f>'Stavební rozpočet'!N15</f>
        <v>0</v>
      </c>
      <c r="K14" s="56">
        <f>J14*E14</f>
        <v>0</v>
      </c>
      <c r="HV14" s="3" t="s">
        <v>57</v>
      </c>
      <c r="HW14" s="3" t="s">
        <v>365</v>
      </c>
      <c r="IR14" s="57">
        <f>F14*0</f>
        <v>0</v>
      </c>
      <c r="IS14" s="57">
        <f>F14*(1-0)</f>
        <v>0</v>
      </c>
    </row>
    <row r="15" spans="1:253" ht="14.4" x14ac:dyDescent="0.3">
      <c r="A15" s="55">
        <v>4</v>
      </c>
      <c r="B15" s="3" t="s">
        <v>60</v>
      </c>
      <c r="C15" s="5" t="s">
        <v>73</v>
      </c>
      <c r="D15" s="3" t="s">
        <v>62</v>
      </c>
      <c r="E15" s="33">
        <f>'Stavební rozpočet'!G16</f>
        <v>1</v>
      </c>
      <c r="F15" s="33">
        <f>'Stavební rozpočet'!H16</f>
        <v>0</v>
      </c>
      <c r="G15" s="33">
        <f>IR15*E15</f>
        <v>0</v>
      </c>
      <c r="H15" s="33">
        <f>IS15*E15</f>
        <v>0</v>
      </c>
      <c r="I15" s="33">
        <f>IR15*E15+IS15*E15</f>
        <v>0</v>
      </c>
      <c r="J15" s="33">
        <f>'Stavební rozpočet'!N16</f>
        <v>0</v>
      </c>
      <c r="K15" s="56">
        <f>J15*E15</f>
        <v>0</v>
      </c>
      <c r="HV15" s="3" t="s">
        <v>57</v>
      </c>
      <c r="HW15" s="3" t="s">
        <v>365</v>
      </c>
      <c r="IR15" s="57">
        <f>F15*0</f>
        <v>0</v>
      </c>
      <c r="IS15" s="57">
        <f>F15*(1-0)</f>
        <v>0</v>
      </c>
    </row>
    <row r="16" spans="1:253" ht="14.4" x14ac:dyDescent="0.3">
      <c r="A16" s="55">
        <v>5</v>
      </c>
      <c r="B16" s="3" t="s">
        <v>60</v>
      </c>
      <c r="C16" s="5" t="s">
        <v>75</v>
      </c>
      <c r="D16" s="3" t="s">
        <v>62</v>
      </c>
      <c r="E16" s="33">
        <f>'Stavební rozpočet'!G17</f>
        <v>1</v>
      </c>
      <c r="F16" s="33">
        <f>'Stavební rozpočet'!H17</f>
        <v>0</v>
      </c>
      <c r="G16" s="33">
        <f>IR16*E16</f>
        <v>0</v>
      </c>
      <c r="H16" s="33">
        <f>IS16*E16</f>
        <v>0</v>
      </c>
      <c r="I16" s="33">
        <f>IR16*E16+IS16*E16</f>
        <v>0</v>
      </c>
      <c r="J16" s="33">
        <f>'Stavební rozpočet'!N17</f>
        <v>0</v>
      </c>
      <c r="K16" s="56">
        <f>J16*E16</f>
        <v>0</v>
      </c>
      <c r="HV16" s="3" t="s">
        <v>57</v>
      </c>
      <c r="HW16" s="3" t="s">
        <v>365</v>
      </c>
      <c r="IR16" s="57">
        <f>F16*0</f>
        <v>0</v>
      </c>
      <c r="IS16" s="57">
        <f>F16*(1-0)</f>
        <v>0</v>
      </c>
    </row>
    <row r="17" spans="1:253" ht="14.4" x14ac:dyDescent="0.3">
      <c r="A17" s="58" t="s">
        <v>4</v>
      </c>
      <c r="B17" s="37" t="s">
        <v>59</v>
      </c>
      <c r="C17" s="38" t="s">
        <v>76</v>
      </c>
      <c r="D17" s="37" t="s">
        <v>4</v>
      </c>
      <c r="E17" s="13" t="s">
        <v>4</v>
      </c>
      <c r="F17" s="13" t="s">
        <v>4</v>
      </c>
      <c r="G17" s="1">
        <f>SUM(G18:G18)</f>
        <v>0</v>
      </c>
      <c r="H17" s="1">
        <f>SUM(H18:H18)</f>
        <v>0</v>
      </c>
      <c r="I17" s="1">
        <f>SUM(I18:I18)</f>
        <v>0</v>
      </c>
      <c r="J17" s="13" t="s">
        <v>4</v>
      </c>
      <c r="K17" s="59">
        <f>SUM(K18:K18)</f>
        <v>0</v>
      </c>
    </row>
    <row r="18" spans="1:253" ht="14.4" x14ac:dyDescent="0.3">
      <c r="A18" s="55">
        <v>6</v>
      </c>
      <c r="B18" s="3" t="s">
        <v>78</v>
      </c>
      <c r="C18" s="5" t="s">
        <v>79</v>
      </c>
      <c r="D18" s="3" t="s">
        <v>80</v>
      </c>
      <c r="E18" s="33">
        <f>'Stavební rozpočet'!G19</f>
        <v>30</v>
      </c>
      <c r="F18" s="33">
        <f>'Stavební rozpočet'!H19</f>
        <v>0</v>
      </c>
      <c r="G18" s="33">
        <f>IR18*E18</f>
        <v>0</v>
      </c>
      <c r="H18" s="33">
        <f>IS18*E18</f>
        <v>0</v>
      </c>
      <c r="I18" s="33">
        <f>IR18*E18+IS18*E18</f>
        <v>0</v>
      </c>
      <c r="J18" s="33">
        <f>'Stavební rozpočet'!N19</f>
        <v>0</v>
      </c>
      <c r="K18" s="56">
        <f>J18*E18</f>
        <v>0</v>
      </c>
      <c r="HV18" s="3" t="s">
        <v>59</v>
      </c>
      <c r="HW18" s="3" t="s">
        <v>365</v>
      </c>
      <c r="IR18" s="57">
        <f>F18*0</f>
        <v>0</v>
      </c>
      <c r="IS18" s="57">
        <f>F18*(1-0)</f>
        <v>0</v>
      </c>
    </row>
    <row r="19" spans="1:253" ht="14.4" x14ac:dyDescent="0.3">
      <c r="A19" s="58" t="s">
        <v>4</v>
      </c>
      <c r="B19" s="37" t="s">
        <v>83</v>
      </c>
      <c r="C19" s="38" t="s">
        <v>84</v>
      </c>
      <c r="D19" s="37" t="s">
        <v>4</v>
      </c>
      <c r="E19" s="13" t="s">
        <v>4</v>
      </c>
      <c r="F19" s="13" t="s">
        <v>4</v>
      </c>
      <c r="G19" s="1">
        <f>SUM(G20:G20)</f>
        <v>0</v>
      </c>
      <c r="H19" s="1">
        <f>SUM(H20:H20)</f>
        <v>0</v>
      </c>
      <c r="I19" s="1">
        <f>SUM(I20:I20)</f>
        <v>0</v>
      </c>
      <c r="J19" s="13" t="s">
        <v>4</v>
      </c>
      <c r="K19" s="59">
        <f>SUM(K20:K20)</f>
        <v>0</v>
      </c>
    </row>
    <row r="20" spans="1:253" ht="14.4" x14ac:dyDescent="0.3">
      <c r="A20" s="55">
        <v>7</v>
      </c>
      <c r="B20" s="3" t="s">
        <v>86</v>
      </c>
      <c r="C20" s="5" t="s">
        <v>87</v>
      </c>
      <c r="D20" s="3" t="s">
        <v>88</v>
      </c>
      <c r="E20" s="33">
        <f>'Stavební rozpočet'!G21</f>
        <v>221</v>
      </c>
      <c r="F20" s="33">
        <f>'Stavební rozpočet'!H21</f>
        <v>0</v>
      </c>
      <c r="G20" s="33">
        <f>IR20*E20</f>
        <v>0</v>
      </c>
      <c r="H20" s="33">
        <f>IS20*E20</f>
        <v>0</v>
      </c>
      <c r="I20" s="33">
        <f>IR20*E20+IS20*E20</f>
        <v>0</v>
      </c>
      <c r="J20" s="33">
        <f>'Stavební rozpočet'!N21</f>
        <v>0</v>
      </c>
      <c r="K20" s="56">
        <f>J20*E20</f>
        <v>0</v>
      </c>
      <c r="HV20" s="3" t="s">
        <v>83</v>
      </c>
      <c r="HW20" s="3" t="s">
        <v>365</v>
      </c>
      <c r="IR20" s="57">
        <f>F20*0</f>
        <v>0</v>
      </c>
      <c r="IS20" s="57">
        <f>F20*(1-0)</f>
        <v>0</v>
      </c>
    </row>
    <row r="21" spans="1:253" ht="14.4" x14ac:dyDescent="0.3">
      <c r="A21" s="58" t="s">
        <v>4</v>
      </c>
      <c r="B21" s="37" t="s">
        <v>90</v>
      </c>
      <c r="C21" s="38" t="s">
        <v>91</v>
      </c>
      <c r="D21" s="37" t="s">
        <v>4</v>
      </c>
      <c r="E21" s="13" t="s">
        <v>4</v>
      </c>
      <c r="F21" s="13" t="s">
        <v>4</v>
      </c>
      <c r="G21" s="1">
        <f>SUM(G22:G22)</f>
        <v>0</v>
      </c>
      <c r="H21" s="1">
        <f>SUM(H22:H22)</f>
        <v>0</v>
      </c>
      <c r="I21" s="1">
        <f>SUM(I22:I22)</f>
        <v>0</v>
      </c>
      <c r="J21" s="13" t="s">
        <v>4</v>
      </c>
      <c r="K21" s="59">
        <f>SUM(K22:K22)</f>
        <v>0</v>
      </c>
    </row>
    <row r="22" spans="1:253" ht="14.4" x14ac:dyDescent="0.3">
      <c r="A22" s="55">
        <v>8</v>
      </c>
      <c r="B22" s="3" t="s">
        <v>93</v>
      </c>
      <c r="C22" s="5" t="s">
        <v>94</v>
      </c>
      <c r="D22" s="3" t="s">
        <v>80</v>
      </c>
      <c r="E22" s="33">
        <f>'Stavební rozpočet'!G23</f>
        <v>40.799999999999997</v>
      </c>
      <c r="F22" s="33">
        <f>'Stavební rozpočet'!H23</f>
        <v>0</v>
      </c>
      <c r="G22" s="33">
        <f>IR22*E22</f>
        <v>0</v>
      </c>
      <c r="H22" s="33">
        <f>IS22*E22</f>
        <v>0</v>
      </c>
      <c r="I22" s="33">
        <f>IR22*E22+IS22*E22</f>
        <v>0</v>
      </c>
      <c r="J22" s="33">
        <f>'Stavební rozpočet'!N23</f>
        <v>0</v>
      </c>
      <c r="K22" s="56">
        <f>J22*E22</f>
        <v>0</v>
      </c>
      <c r="HV22" s="3" t="s">
        <v>90</v>
      </c>
      <c r="HW22" s="3" t="s">
        <v>365</v>
      </c>
      <c r="IR22" s="57">
        <f>F22*0</f>
        <v>0</v>
      </c>
      <c r="IS22" s="57">
        <f>F22*(1-0)</f>
        <v>0</v>
      </c>
    </row>
    <row r="23" spans="1:253" ht="14.4" x14ac:dyDescent="0.3">
      <c r="A23" s="58" t="s">
        <v>4</v>
      </c>
      <c r="B23" s="37" t="s">
        <v>96</v>
      </c>
      <c r="C23" s="38" t="s">
        <v>97</v>
      </c>
      <c r="D23" s="37" t="s">
        <v>4</v>
      </c>
      <c r="E23" s="13" t="s">
        <v>4</v>
      </c>
      <c r="F23" s="13" t="s">
        <v>4</v>
      </c>
      <c r="G23" s="1">
        <f>SUM(G24:G25)</f>
        <v>0</v>
      </c>
      <c r="H23" s="1">
        <f>SUM(H24:H25)</f>
        <v>0</v>
      </c>
      <c r="I23" s="1">
        <f>SUM(I24:I25)</f>
        <v>0</v>
      </c>
      <c r="J23" s="13" t="s">
        <v>4</v>
      </c>
      <c r="K23" s="59">
        <f>SUM(K24:K25)</f>
        <v>0</v>
      </c>
    </row>
    <row r="24" spans="1:253" ht="14.4" x14ac:dyDescent="0.3">
      <c r="A24" s="55">
        <v>9</v>
      </c>
      <c r="B24" s="3" t="s">
        <v>99</v>
      </c>
      <c r="C24" s="5" t="s">
        <v>100</v>
      </c>
      <c r="D24" s="3" t="s">
        <v>80</v>
      </c>
      <c r="E24" s="33">
        <f>'Stavební rozpočet'!G25</f>
        <v>9.2896000000000001</v>
      </c>
      <c r="F24" s="33">
        <f>'Stavební rozpočet'!H25</f>
        <v>0</v>
      </c>
      <c r="G24" s="33">
        <f>IR24*E24</f>
        <v>0</v>
      </c>
      <c r="H24" s="33">
        <f>IS24*E24</f>
        <v>0</v>
      </c>
      <c r="I24" s="33">
        <f>IR24*E24+IS24*E24</f>
        <v>0</v>
      </c>
      <c r="J24" s="33">
        <f>'Stavební rozpočet'!N25</f>
        <v>0</v>
      </c>
      <c r="K24" s="56">
        <f>J24*E24</f>
        <v>0</v>
      </c>
      <c r="HV24" s="3" t="s">
        <v>96</v>
      </c>
      <c r="HW24" s="3" t="s">
        <v>365</v>
      </c>
      <c r="IR24" s="57">
        <f>F24*0</f>
        <v>0</v>
      </c>
      <c r="IS24" s="57">
        <f>F24*(1-0)</f>
        <v>0</v>
      </c>
    </row>
    <row r="25" spans="1:253" ht="14.4" x14ac:dyDescent="0.3">
      <c r="A25" s="55">
        <v>10</v>
      </c>
      <c r="B25" s="3" t="s">
        <v>103</v>
      </c>
      <c r="C25" s="5" t="s">
        <v>104</v>
      </c>
      <c r="D25" s="3" t="s">
        <v>80</v>
      </c>
      <c r="E25" s="33">
        <f>'Stavební rozpočet'!G26</f>
        <v>30</v>
      </c>
      <c r="F25" s="33">
        <f>'Stavební rozpočet'!H26</f>
        <v>0</v>
      </c>
      <c r="G25" s="33">
        <f>IR25*E25</f>
        <v>0</v>
      </c>
      <c r="H25" s="33">
        <f>IS25*E25</f>
        <v>0</v>
      </c>
      <c r="I25" s="33">
        <f>IR25*E25+IS25*E25</f>
        <v>0</v>
      </c>
      <c r="J25" s="33">
        <f>'Stavební rozpočet'!N26</f>
        <v>0</v>
      </c>
      <c r="K25" s="56">
        <f>J25*E25</f>
        <v>0</v>
      </c>
      <c r="HV25" s="3" t="s">
        <v>96</v>
      </c>
      <c r="HW25" s="3" t="s">
        <v>365</v>
      </c>
      <c r="IR25" s="57">
        <f>F25*0</f>
        <v>0</v>
      </c>
      <c r="IS25" s="57">
        <f>F25*(1-0)</f>
        <v>0</v>
      </c>
    </row>
    <row r="26" spans="1:253" ht="14.4" x14ac:dyDescent="0.3">
      <c r="A26" s="58" t="s">
        <v>4</v>
      </c>
      <c r="B26" s="37" t="s">
        <v>105</v>
      </c>
      <c r="C26" s="38" t="s">
        <v>106</v>
      </c>
      <c r="D26" s="37" t="s">
        <v>4</v>
      </c>
      <c r="E26" s="13" t="s">
        <v>4</v>
      </c>
      <c r="F26" s="13" t="s">
        <v>4</v>
      </c>
      <c r="G26" s="1">
        <f>SUM(G27:G27)</f>
        <v>0</v>
      </c>
      <c r="H26" s="1">
        <f>SUM(H27:H27)</f>
        <v>0</v>
      </c>
      <c r="I26" s="1">
        <f>SUM(I27:I27)</f>
        <v>0</v>
      </c>
      <c r="J26" s="13" t="s">
        <v>4</v>
      </c>
      <c r="K26" s="59">
        <f>SUM(K27:K27)</f>
        <v>0</v>
      </c>
    </row>
    <row r="27" spans="1:253" ht="14.4" x14ac:dyDescent="0.3">
      <c r="A27" s="55">
        <v>11</v>
      </c>
      <c r="B27" s="3" t="s">
        <v>107</v>
      </c>
      <c r="C27" s="5" t="s">
        <v>108</v>
      </c>
      <c r="D27" s="3" t="s">
        <v>80</v>
      </c>
      <c r="E27" s="33">
        <f>'Stavební rozpočet'!G28</f>
        <v>2.4516</v>
      </c>
      <c r="F27" s="33">
        <f>'Stavební rozpočet'!H28</f>
        <v>0</v>
      </c>
      <c r="G27" s="33">
        <f>IR27*E27</f>
        <v>0</v>
      </c>
      <c r="H27" s="33">
        <f>IS27*E27</f>
        <v>0</v>
      </c>
      <c r="I27" s="33">
        <f>IR27*E27+IS27*E27</f>
        <v>0</v>
      </c>
      <c r="J27" s="33">
        <f>'Stavební rozpočet'!N28</f>
        <v>0</v>
      </c>
      <c r="K27" s="56">
        <f>J27*E27</f>
        <v>0</v>
      </c>
      <c r="HV27" s="3" t="s">
        <v>105</v>
      </c>
      <c r="HW27" s="3" t="s">
        <v>365</v>
      </c>
      <c r="IR27" s="57">
        <f>F27*0</f>
        <v>0</v>
      </c>
      <c r="IS27" s="57">
        <f>F27*(1-0)</f>
        <v>0</v>
      </c>
    </row>
    <row r="28" spans="1:253" ht="14.4" x14ac:dyDescent="0.3">
      <c r="A28" s="58" t="s">
        <v>4</v>
      </c>
      <c r="B28" s="37" t="s">
        <v>110</v>
      </c>
      <c r="C28" s="38" t="s">
        <v>111</v>
      </c>
      <c r="D28" s="37" t="s">
        <v>4</v>
      </c>
      <c r="E28" s="13" t="s">
        <v>4</v>
      </c>
      <c r="F28" s="13" t="s">
        <v>4</v>
      </c>
      <c r="G28" s="1">
        <f>SUM(G29:G29)</f>
        <v>0</v>
      </c>
      <c r="H28" s="1">
        <f>SUM(H29:H29)</f>
        <v>0</v>
      </c>
      <c r="I28" s="1">
        <f>SUM(I29:I29)</f>
        <v>0</v>
      </c>
      <c r="J28" s="13" t="s">
        <v>4</v>
      </c>
      <c r="K28" s="59">
        <f>SUM(K29:K29)</f>
        <v>0</v>
      </c>
    </row>
    <row r="29" spans="1:253" ht="14.4" x14ac:dyDescent="0.3">
      <c r="A29" s="55">
        <v>12</v>
      </c>
      <c r="B29" s="3" t="s">
        <v>112</v>
      </c>
      <c r="C29" s="5" t="s">
        <v>113</v>
      </c>
      <c r="D29" s="3" t="s">
        <v>88</v>
      </c>
      <c r="E29" s="33">
        <f>'Stavební rozpočet'!G30</f>
        <v>221</v>
      </c>
      <c r="F29" s="33">
        <f>'Stavební rozpočet'!H30</f>
        <v>0</v>
      </c>
      <c r="G29" s="33">
        <f>IR29*E29</f>
        <v>0</v>
      </c>
      <c r="H29" s="33">
        <f>IS29*E29</f>
        <v>0</v>
      </c>
      <c r="I29" s="33">
        <f>IR29*E29+IS29*E29</f>
        <v>0</v>
      </c>
      <c r="J29" s="33">
        <f>'Stavební rozpočet'!N30</f>
        <v>0</v>
      </c>
      <c r="K29" s="56">
        <f>J29*E29</f>
        <v>0</v>
      </c>
      <c r="HV29" s="3" t="s">
        <v>110</v>
      </c>
      <c r="HW29" s="3" t="s">
        <v>365</v>
      </c>
      <c r="IR29" s="57">
        <f>F29*0</f>
        <v>0</v>
      </c>
      <c r="IS29" s="57">
        <f>F29*(1-0)</f>
        <v>0</v>
      </c>
    </row>
    <row r="30" spans="1:253" ht="14.4" x14ac:dyDescent="0.3">
      <c r="A30" s="58" t="s">
        <v>4</v>
      </c>
      <c r="B30" s="37" t="s">
        <v>115</v>
      </c>
      <c r="C30" s="38" t="s">
        <v>116</v>
      </c>
      <c r="D30" s="37" t="s">
        <v>4</v>
      </c>
      <c r="E30" s="13" t="s">
        <v>4</v>
      </c>
      <c r="F30" s="13" t="s">
        <v>4</v>
      </c>
      <c r="G30" s="1">
        <f>SUM(G31:G32)</f>
        <v>0</v>
      </c>
      <c r="H30" s="1">
        <f>SUM(H31:H32)</f>
        <v>0</v>
      </c>
      <c r="I30" s="1">
        <f>SUM(I31:I32)</f>
        <v>0</v>
      </c>
      <c r="J30" s="13" t="s">
        <v>4</v>
      </c>
      <c r="K30" s="59">
        <f>SUM(K31:K32)</f>
        <v>3.6596174229999994</v>
      </c>
    </row>
    <row r="31" spans="1:253" ht="14.4" x14ac:dyDescent="0.3">
      <c r="A31" s="55">
        <v>13</v>
      </c>
      <c r="B31" s="3" t="s">
        <v>117</v>
      </c>
      <c r="C31" s="5" t="s">
        <v>118</v>
      </c>
      <c r="D31" s="3" t="s">
        <v>119</v>
      </c>
      <c r="E31" s="33">
        <f>'Stavební rozpočet'!G32</f>
        <v>1.1662999999999999</v>
      </c>
      <c r="F31" s="33">
        <f>'Stavební rozpočet'!H32</f>
        <v>0</v>
      </c>
      <c r="G31" s="33">
        <f>IR31*E31</f>
        <v>0</v>
      </c>
      <c r="H31" s="33">
        <f>IS31*E31</f>
        <v>0</v>
      </c>
      <c r="I31" s="33">
        <f>IR31*E31+IS31*E31</f>
        <v>0</v>
      </c>
      <c r="J31" s="33">
        <f>'Stavební rozpočet'!N32</f>
        <v>1.07521</v>
      </c>
      <c r="K31" s="56">
        <f>J31*E31</f>
        <v>1.2540174229999999</v>
      </c>
      <c r="HV31" s="3" t="s">
        <v>115</v>
      </c>
      <c r="HW31" s="3" t="s">
        <v>365</v>
      </c>
      <c r="IR31" s="57">
        <f>F31*0.699158102</f>
        <v>0</v>
      </c>
      <c r="IS31" s="57">
        <f>F31*(1-0.699158102)</f>
        <v>0</v>
      </c>
    </row>
    <row r="32" spans="1:253" ht="14.4" x14ac:dyDescent="0.3">
      <c r="A32" s="55">
        <v>14</v>
      </c>
      <c r="B32" s="3" t="s">
        <v>123</v>
      </c>
      <c r="C32" s="5" t="s">
        <v>124</v>
      </c>
      <c r="D32" s="3" t="s">
        <v>125</v>
      </c>
      <c r="E32" s="33">
        <f>'Stavební rozpočet'!G33</f>
        <v>40</v>
      </c>
      <c r="F32" s="33">
        <f>'Stavební rozpočet'!H33</f>
        <v>0</v>
      </c>
      <c r="G32" s="33">
        <f>IR32*E32</f>
        <v>0</v>
      </c>
      <c r="H32" s="33">
        <f>IS32*E32</f>
        <v>0</v>
      </c>
      <c r="I32" s="33">
        <f>IR32*E32+IS32*E32</f>
        <v>0</v>
      </c>
      <c r="J32" s="33">
        <f>'Stavební rozpočet'!N33</f>
        <v>6.0139999999999999E-2</v>
      </c>
      <c r="K32" s="56">
        <f>J32*E32</f>
        <v>2.4055999999999997</v>
      </c>
      <c r="HV32" s="3" t="s">
        <v>115</v>
      </c>
      <c r="HW32" s="3" t="s">
        <v>365</v>
      </c>
      <c r="IR32" s="57">
        <f>F32*0.613567553</f>
        <v>0</v>
      </c>
      <c r="IS32" s="57">
        <f>F32*(1-0.613567553)</f>
        <v>0</v>
      </c>
    </row>
    <row r="33" spans="1:253" ht="14.4" x14ac:dyDescent="0.3">
      <c r="A33" s="58" t="s">
        <v>4</v>
      </c>
      <c r="B33" s="37" t="s">
        <v>126</v>
      </c>
      <c r="C33" s="38" t="s">
        <v>127</v>
      </c>
      <c r="D33" s="37" t="s">
        <v>4</v>
      </c>
      <c r="E33" s="13" t="s">
        <v>4</v>
      </c>
      <c r="F33" s="13" t="s">
        <v>4</v>
      </c>
      <c r="G33" s="1">
        <f>SUM(G34:G39)</f>
        <v>0</v>
      </c>
      <c r="H33" s="1">
        <f>SUM(H34:H39)</f>
        <v>0</v>
      </c>
      <c r="I33" s="1">
        <f>SUM(I34:I39)</f>
        <v>0</v>
      </c>
      <c r="J33" s="13" t="s">
        <v>4</v>
      </c>
      <c r="K33" s="59">
        <f>SUM(K34:K39)</f>
        <v>69.214243930999999</v>
      </c>
    </row>
    <row r="34" spans="1:253" ht="14.4" x14ac:dyDescent="0.3">
      <c r="A34" s="55">
        <v>15</v>
      </c>
      <c r="B34" s="3" t="s">
        <v>129</v>
      </c>
      <c r="C34" s="5" t="s">
        <v>130</v>
      </c>
      <c r="D34" s="3" t="s">
        <v>80</v>
      </c>
      <c r="E34" s="33">
        <f>'Stavební rozpočet'!G35</f>
        <v>9.2896000000000001</v>
      </c>
      <c r="F34" s="33">
        <f>'Stavební rozpočet'!H35</f>
        <v>0</v>
      </c>
      <c r="G34" s="33">
        <f t="shared" ref="G34:G39" si="0">IR34*E34</f>
        <v>0</v>
      </c>
      <c r="H34" s="33">
        <f t="shared" ref="H34:H39" si="1">IS34*E34</f>
        <v>0</v>
      </c>
      <c r="I34" s="33">
        <f t="shared" ref="I34:I39" si="2">IR34*E34+IS34*E34</f>
        <v>0</v>
      </c>
      <c r="J34" s="33">
        <f>'Stavební rozpočet'!N35</f>
        <v>2.5249999999999999</v>
      </c>
      <c r="K34" s="56">
        <f t="shared" ref="K34:K39" si="3">J34*E34</f>
        <v>23.456240000000001</v>
      </c>
      <c r="HV34" s="3" t="s">
        <v>126</v>
      </c>
      <c r="HW34" s="3" t="s">
        <v>365</v>
      </c>
      <c r="IR34" s="57">
        <f>F34*0.919020101</f>
        <v>0</v>
      </c>
      <c r="IS34" s="57">
        <f>F34*(1-0.919020101)</f>
        <v>0</v>
      </c>
    </row>
    <row r="35" spans="1:253" ht="14.4" x14ac:dyDescent="0.3">
      <c r="A35" s="55">
        <v>16</v>
      </c>
      <c r="B35" s="3" t="s">
        <v>133</v>
      </c>
      <c r="C35" s="5" t="s">
        <v>134</v>
      </c>
      <c r="D35" s="3" t="s">
        <v>119</v>
      </c>
      <c r="E35" s="33">
        <f>'Stavební rozpočet'!G36</f>
        <v>1.0219</v>
      </c>
      <c r="F35" s="33">
        <f>'Stavební rozpočet'!H36</f>
        <v>0</v>
      </c>
      <c r="G35" s="33">
        <f t="shared" si="0"/>
        <v>0</v>
      </c>
      <c r="H35" s="33">
        <f t="shared" si="1"/>
        <v>0</v>
      </c>
      <c r="I35" s="33">
        <f t="shared" si="2"/>
        <v>0</v>
      </c>
      <c r="J35" s="33">
        <f>'Stavební rozpočet'!N36</f>
        <v>1.00349</v>
      </c>
      <c r="K35" s="56">
        <f t="shared" si="3"/>
        <v>1.0254664310000001</v>
      </c>
      <c r="HV35" s="3" t="s">
        <v>126</v>
      </c>
      <c r="HW35" s="3" t="s">
        <v>365</v>
      </c>
      <c r="IR35" s="57">
        <f>F35*0.66130461</f>
        <v>0</v>
      </c>
      <c r="IS35" s="57">
        <f>F35*(1-0.66130461)</f>
        <v>0</v>
      </c>
    </row>
    <row r="36" spans="1:253" ht="14.4" x14ac:dyDescent="0.3">
      <c r="A36" s="55">
        <v>17</v>
      </c>
      <c r="B36" s="3" t="s">
        <v>135</v>
      </c>
      <c r="C36" s="5" t="s">
        <v>136</v>
      </c>
      <c r="D36" s="3" t="s">
        <v>80</v>
      </c>
      <c r="E36" s="33">
        <f>'Stavební rozpočet'!G37</f>
        <v>17.671500000000002</v>
      </c>
      <c r="F36" s="33">
        <f>'Stavební rozpočet'!H37</f>
        <v>0</v>
      </c>
      <c r="G36" s="33">
        <f t="shared" si="0"/>
        <v>0</v>
      </c>
      <c r="H36" s="33">
        <f t="shared" si="1"/>
        <v>0</v>
      </c>
      <c r="I36" s="33">
        <f t="shared" si="2"/>
        <v>0</v>
      </c>
      <c r="J36" s="33">
        <f>'Stavební rozpočet'!N37</f>
        <v>2.5249999999999999</v>
      </c>
      <c r="K36" s="56">
        <f t="shared" si="3"/>
        <v>44.620537500000005</v>
      </c>
      <c r="HV36" s="3" t="s">
        <v>126</v>
      </c>
      <c r="HW36" s="3" t="s">
        <v>365</v>
      </c>
      <c r="IR36" s="57">
        <f>F36*0.933737443</f>
        <v>0</v>
      </c>
      <c r="IS36" s="57">
        <f>F36*(1-0.933737443)</f>
        <v>0</v>
      </c>
    </row>
    <row r="37" spans="1:253" ht="14.4" x14ac:dyDescent="0.3">
      <c r="A37" s="55">
        <v>18</v>
      </c>
      <c r="B37" s="3" t="s">
        <v>137</v>
      </c>
      <c r="C37" s="5" t="s">
        <v>138</v>
      </c>
      <c r="D37" s="3" t="s">
        <v>139</v>
      </c>
      <c r="E37" s="33">
        <f>'Stavební rozpočet'!G38</f>
        <v>16</v>
      </c>
      <c r="F37" s="33">
        <f>'Stavební rozpočet'!H38</f>
        <v>0</v>
      </c>
      <c r="G37" s="33">
        <f t="shared" si="0"/>
        <v>0</v>
      </c>
      <c r="H37" s="33">
        <f t="shared" si="1"/>
        <v>0</v>
      </c>
      <c r="I37" s="33">
        <f t="shared" si="2"/>
        <v>0</v>
      </c>
      <c r="J37" s="33">
        <f>'Stavební rozpočet'!N38</f>
        <v>0</v>
      </c>
      <c r="K37" s="56">
        <f t="shared" si="3"/>
        <v>0</v>
      </c>
      <c r="HV37" s="3" t="s">
        <v>126</v>
      </c>
      <c r="HW37" s="3" t="s">
        <v>365</v>
      </c>
      <c r="IR37" s="57">
        <f>F37*0</f>
        <v>0</v>
      </c>
      <c r="IS37" s="57">
        <f>F37*(1-0)</f>
        <v>0</v>
      </c>
    </row>
    <row r="38" spans="1:253" ht="14.4" x14ac:dyDescent="0.3">
      <c r="A38" s="55">
        <v>19</v>
      </c>
      <c r="B38" s="3" t="s">
        <v>141</v>
      </c>
      <c r="C38" s="5" t="s">
        <v>142</v>
      </c>
      <c r="D38" s="3" t="s">
        <v>143</v>
      </c>
      <c r="E38" s="33">
        <f>'Stavební rozpočet'!G39</f>
        <v>2</v>
      </c>
      <c r="F38" s="33">
        <f>'Stavební rozpočet'!H39</f>
        <v>0</v>
      </c>
      <c r="G38" s="33">
        <f t="shared" si="0"/>
        <v>0</v>
      </c>
      <c r="H38" s="33">
        <f t="shared" si="1"/>
        <v>0</v>
      </c>
      <c r="I38" s="33">
        <f t="shared" si="2"/>
        <v>0</v>
      </c>
      <c r="J38" s="33">
        <f>'Stavební rozpočet'!N39</f>
        <v>7.0000000000000001E-3</v>
      </c>
      <c r="K38" s="56">
        <f t="shared" si="3"/>
        <v>1.4E-2</v>
      </c>
      <c r="HV38" s="3" t="s">
        <v>126</v>
      </c>
      <c r="HW38" s="3" t="s">
        <v>366</v>
      </c>
      <c r="IR38" s="57">
        <f>F38*1</f>
        <v>0</v>
      </c>
      <c r="IS38" s="57">
        <f>F38*(1-1)</f>
        <v>0</v>
      </c>
    </row>
    <row r="39" spans="1:253" ht="14.4" x14ac:dyDescent="0.3">
      <c r="A39" s="55">
        <v>20</v>
      </c>
      <c r="B39" s="3" t="s">
        <v>141</v>
      </c>
      <c r="C39" s="5" t="s">
        <v>145</v>
      </c>
      <c r="D39" s="3" t="s">
        <v>143</v>
      </c>
      <c r="E39" s="33">
        <f>'Stavební rozpočet'!G40</f>
        <v>14</v>
      </c>
      <c r="F39" s="33">
        <f>'Stavební rozpočet'!H40</f>
        <v>0</v>
      </c>
      <c r="G39" s="33">
        <f t="shared" si="0"/>
        <v>0</v>
      </c>
      <c r="H39" s="33">
        <f t="shared" si="1"/>
        <v>0</v>
      </c>
      <c r="I39" s="33">
        <f t="shared" si="2"/>
        <v>0</v>
      </c>
      <c r="J39" s="33">
        <f>'Stavební rozpočet'!N40</f>
        <v>7.0000000000000001E-3</v>
      </c>
      <c r="K39" s="56">
        <f t="shared" si="3"/>
        <v>9.8000000000000004E-2</v>
      </c>
      <c r="HV39" s="3" t="s">
        <v>126</v>
      </c>
      <c r="HW39" s="3" t="s">
        <v>366</v>
      </c>
      <c r="IR39" s="57">
        <f>F39*1</f>
        <v>0</v>
      </c>
      <c r="IS39" s="57">
        <f>F39*(1-1)</f>
        <v>0</v>
      </c>
    </row>
    <row r="40" spans="1:253" ht="14.4" x14ac:dyDescent="0.3">
      <c r="A40" s="58" t="s">
        <v>4</v>
      </c>
      <c r="B40" s="37" t="s">
        <v>146</v>
      </c>
      <c r="C40" s="38" t="s">
        <v>147</v>
      </c>
      <c r="D40" s="37" t="s">
        <v>4</v>
      </c>
      <c r="E40" s="13" t="s">
        <v>4</v>
      </c>
      <c r="F40" s="13" t="s">
        <v>4</v>
      </c>
      <c r="G40" s="1">
        <f>SUM(G41:G41)</f>
        <v>0</v>
      </c>
      <c r="H40" s="1">
        <f>SUM(H41:H41)</f>
        <v>0</v>
      </c>
      <c r="I40" s="1">
        <f>SUM(I41:I41)</f>
        <v>0</v>
      </c>
      <c r="J40" s="13" t="s">
        <v>4</v>
      </c>
      <c r="K40" s="59">
        <f>SUM(K41:K41)</f>
        <v>11.34</v>
      </c>
    </row>
    <row r="41" spans="1:253" ht="14.4" x14ac:dyDescent="0.3">
      <c r="A41" s="55">
        <v>21</v>
      </c>
      <c r="B41" s="3" t="s">
        <v>148</v>
      </c>
      <c r="C41" s="5" t="s">
        <v>149</v>
      </c>
      <c r="D41" s="3" t="s">
        <v>88</v>
      </c>
      <c r="E41" s="33">
        <f>'Stavební rozpočet'!G42</f>
        <v>30</v>
      </c>
      <c r="F41" s="33">
        <f>'Stavební rozpočet'!H42</f>
        <v>0</v>
      </c>
      <c r="G41" s="33">
        <f>IR41*E41</f>
        <v>0</v>
      </c>
      <c r="H41" s="33">
        <f>IS41*E41</f>
        <v>0</v>
      </c>
      <c r="I41" s="33">
        <f>IR41*E41+IS41*E41</f>
        <v>0</v>
      </c>
      <c r="J41" s="33">
        <f>'Stavební rozpočet'!N42</f>
        <v>0.378</v>
      </c>
      <c r="K41" s="56">
        <f>J41*E41</f>
        <v>11.34</v>
      </c>
      <c r="HV41" s="3" t="s">
        <v>146</v>
      </c>
      <c r="HW41" s="3" t="s">
        <v>365</v>
      </c>
      <c r="IR41" s="57">
        <f>F41*0.843538462</f>
        <v>0</v>
      </c>
      <c r="IS41" s="57">
        <f>F41*(1-0.843538462)</f>
        <v>0</v>
      </c>
    </row>
    <row r="42" spans="1:253" ht="14.4" x14ac:dyDescent="0.3">
      <c r="A42" s="58" t="s">
        <v>4</v>
      </c>
      <c r="B42" s="37" t="s">
        <v>152</v>
      </c>
      <c r="C42" s="38" t="s">
        <v>153</v>
      </c>
      <c r="D42" s="37" t="s">
        <v>4</v>
      </c>
      <c r="E42" s="13" t="s">
        <v>4</v>
      </c>
      <c r="F42" s="13" t="s">
        <v>4</v>
      </c>
      <c r="G42" s="1">
        <f>SUM(G43:G46)</f>
        <v>0</v>
      </c>
      <c r="H42" s="1">
        <f>SUM(H43:H46)</f>
        <v>0</v>
      </c>
      <c r="I42" s="1">
        <f>SUM(I43:I46)</f>
        <v>0</v>
      </c>
      <c r="J42" s="13" t="s">
        <v>4</v>
      </c>
      <c r="K42" s="59">
        <f>SUM(K43:K46)</f>
        <v>7.2195420859999997</v>
      </c>
    </row>
    <row r="43" spans="1:253" ht="14.4" x14ac:dyDescent="0.3">
      <c r="A43" s="55">
        <v>22</v>
      </c>
      <c r="B43" s="3" t="s">
        <v>155</v>
      </c>
      <c r="C43" s="5" t="s">
        <v>156</v>
      </c>
      <c r="D43" s="3" t="s">
        <v>80</v>
      </c>
      <c r="E43" s="33">
        <f>'Stavební rozpočet'!G44</f>
        <v>8.7082999999999995</v>
      </c>
      <c r="F43" s="33">
        <f>'Stavební rozpočet'!H44</f>
        <v>0</v>
      </c>
      <c r="G43" s="33">
        <f>IR43*E43</f>
        <v>0</v>
      </c>
      <c r="H43" s="33">
        <f>IS43*E43</f>
        <v>0</v>
      </c>
      <c r="I43" s="33">
        <f>IR43*E43+IS43*E43</f>
        <v>0</v>
      </c>
      <c r="J43" s="33">
        <f>'Stavební rozpočet'!N44</f>
        <v>1.6500000000000001E-2</v>
      </c>
      <c r="K43" s="56">
        <f>J43*E43</f>
        <v>0.14368695000000001</v>
      </c>
      <c r="HV43" s="3" t="s">
        <v>152</v>
      </c>
      <c r="HW43" s="3" t="s">
        <v>365</v>
      </c>
      <c r="IR43" s="57">
        <f>F43*0.989125817</f>
        <v>0</v>
      </c>
      <c r="IS43" s="57">
        <f>F43*(1-0.989125817)</f>
        <v>0</v>
      </c>
    </row>
    <row r="44" spans="1:253" ht="14.4" x14ac:dyDescent="0.3">
      <c r="A44" s="55">
        <v>23</v>
      </c>
      <c r="B44" s="3" t="s">
        <v>160</v>
      </c>
      <c r="C44" s="5" t="s">
        <v>161</v>
      </c>
      <c r="D44" s="3" t="s">
        <v>125</v>
      </c>
      <c r="E44" s="33">
        <f>'Stavební rozpočet'!G45</f>
        <v>2642.8571000000002</v>
      </c>
      <c r="F44" s="33">
        <f>'Stavební rozpočet'!H45</f>
        <v>0</v>
      </c>
      <c r="G44" s="33">
        <f>IR44*E44</f>
        <v>0</v>
      </c>
      <c r="H44" s="33">
        <f>IS44*E44</f>
        <v>0</v>
      </c>
      <c r="I44" s="33">
        <f>IR44*E44+IS44*E44</f>
        <v>0</v>
      </c>
      <c r="J44" s="33">
        <f>'Stavební rozpočet'!N45</f>
        <v>1.6000000000000001E-4</v>
      </c>
      <c r="K44" s="56">
        <f>J44*E44</f>
        <v>0.42285713600000008</v>
      </c>
      <c r="HV44" s="3" t="s">
        <v>152</v>
      </c>
      <c r="HW44" s="3" t="s">
        <v>365</v>
      </c>
      <c r="IR44" s="57">
        <f>F44*0.051422319</f>
        <v>0</v>
      </c>
      <c r="IS44" s="57">
        <f>F44*(1-0.051422319)</f>
        <v>0</v>
      </c>
    </row>
    <row r="45" spans="1:253" ht="14.4" x14ac:dyDescent="0.3">
      <c r="A45" s="55">
        <v>24</v>
      </c>
      <c r="B45" s="3" t="s">
        <v>163</v>
      </c>
      <c r="C45" s="5" t="s">
        <v>164</v>
      </c>
      <c r="D45" s="3" t="s">
        <v>88</v>
      </c>
      <c r="E45" s="33">
        <f>'Stavební rozpočet'!G46</f>
        <v>369.61099999999999</v>
      </c>
      <c r="F45" s="33">
        <f>'Stavební rozpočet'!H46</f>
        <v>0</v>
      </c>
      <c r="G45" s="33">
        <f>IR45*E45</f>
        <v>0</v>
      </c>
      <c r="H45" s="33">
        <f>IS45*E45</f>
        <v>0</v>
      </c>
      <c r="I45" s="33">
        <f>IR45*E45+IS45*E45</f>
        <v>0</v>
      </c>
      <c r="J45" s="33">
        <f>'Stavební rozpočet'!N46</f>
        <v>1.7999999999999999E-2</v>
      </c>
      <c r="K45" s="56">
        <f>J45*E45</f>
        <v>6.6529979999999993</v>
      </c>
      <c r="HV45" s="3" t="s">
        <v>152</v>
      </c>
      <c r="HW45" s="3" t="s">
        <v>366</v>
      </c>
      <c r="IR45" s="57">
        <f>F45*1</f>
        <v>0</v>
      </c>
      <c r="IS45" s="57">
        <f>F45*(1-1)</f>
        <v>0</v>
      </c>
    </row>
    <row r="46" spans="1:253" ht="14.4" x14ac:dyDescent="0.3">
      <c r="A46" s="55">
        <v>25</v>
      </c>
      <c r="B46" s="3" t="s">
        <v>166</v>
      </c>
      <c r="C46" s="5" t="s">
        <v>167</v>
      </c>
      <c r="D46" s="3" t="s">
        <v>119</v>
      </c>
      <c r="E46" s="33">
        <f>'Stavební rozpočet'!G47</f>
        <v>7.2195999999999998</v>
      </c>
      <c r="F46" s="33">
        <f>'Stavební rozpočet'!H47</f>
        <v>0</v>
      </c>
      <c r="G46" s="33">
        <f>IR46*E46</f>
        <v>0</v>
      </c>
      <c r="H46" s="33">
        <f>IS46*E46</f>
        <v>0</v>
      </c>
      <c r="I46" s="33">
        <f>IR46*E46+IS46*E46</f>
        <v>0</v>
      </c>
      <c r="J46" s="33">
        <f>'Stavební rozpočet'!N47</f>
        <v>0</v>
      </c>
      <c r="K46" s="56">
        <f>J46*E46</f>
        <v>0</v>
      </c>
      <c r="HV46" s="3" t="s">
        <v>152</v>
      </c>
      <c r="HW46" s="3" t="s">
        <v>365</v>
      </c>
      <c r="IR46" s="57">
        <f>F46*0</f>
        <v>0</v>
      </c>
      <c r="IS46" s="57">
        <f>F46*(1-0)</f>
        <v>0</v>
      </c>
    </row>
    <row r="47" spans="1:253" ht="14.4" x14ac:dyDescent="0.3">
      <c r="A47" s="58" t="s">
        <v>4</v>
      </c>
      <c r="B47" s="37" t="s">
        <v>168</v>
      </c>
      <c r="C47" s="38" t="s">
        <v>169</v>
      </c>
      <c r="D47" s="37" t="s">
        <v>4</v>
      </c>
      <c r="E47" s="13" t="s">
        <v>4</v>
      </c>
      <c r="F47" s="13" t="s">
        <v>4</v>
      </c>
      <c r="G47" s="1">
        <f>SUM(G48:G54)</f>
        <v>0</v>
      </c>
      <c r="H47" s="1">
        <f>SUM(H48:H54)</f>
        <v>0</v>
      </c>
      <c r="I47" s="1">
        <f>SUM(I48:I54)</f>
        <v>0</v>
      </c>
      <c r="J47" s="13" t="s">
        <v>4</v>
      </c>
      <c r="K47" s="59">
        <f>SUM(K48:K54)</f>
        <v>8.0181525449999995</v>
      </c>
    </row>
    <row r="48" spans="1:253" ht="14.4" x14ac:dyDescent="0.3">
      <c r="A48" s="55">
        <v>26</v>
      </c>
      <c r="B48" s="3" t="s">
        <v>170</v>
      </c>
      <c r="C48" s="5" t="s">
        <v>171</v>
      </c>
      <c r="D48" s="3" t="s">
        <v>172</v>
      </c>
      <c r="E48" s="33">
        <f>'Stavební rozpočet'!G49</f>
        <v>6697.3608999999997</v>
      </c>
      <c r="F48" s="33">
        <f>'Stavební rozpočet'!H49</f>
        <v>0</v>
      </c>
      <c r="G48" s="33">
        <f t="shared" ref="G48:G54" si="4">IR48*E48</f>
        <v>0</v>
      </c>
      <c r="H48" s="33">
        <f t="shared" ref="H48:H54" si="5">IS48*E48</f>
        <v>0</v>
      </c>
      <c r="I48" s="33">
        <f t="shared" ref="I48:I54" si="6">IR48*E48+IS48*E48</f>
        <v>0</v>
      </c>
      <c r="J48" s="33">
        <f>'Stavební rozpočet'!N49</f>
        <v>5.0000000000000002E-5</v>
      </c>
      <c r="K48" s="56">
        <f t="shared" ref="K48:K54" si="7">J48*E48</f>
        <v>0.334868045</v>
      </c>
      <c r="HV48" s="3" t="s">
        <v>168</v>
      </c>
      <c r="HW48" s="3" t="s">
        <v>365</v>
      </c>
      <c r="IR48" s="57">
        <f>F48*0.299115044</f>
        <v>0</v>
      </c>
      <c r="IS48" s="57">
        <f>F48*(1-0.299115044)</f>
        <v>0</v>
      </c>
    </row>
    <row r="49" spans="1:253" ht="14.4" x14ac:dyDescent="0.3">
      <c r="A49" s="55">
        <v>27</v>
      </c>
      <c r="B49" s="3" t="s">
        <v>174</v>
      </c>
      <c r="C49" s="5" t="s">
        <v>175</v>
      </c>
      <c r="D49" s="3" t="s">
        <v>176</v>
      </c>
      <c r="E49" s="33">
        <f>'Stavební rozpočet'!G50</f>
        <v>143.19999999999999</v>
      </c>
      <c r="F49" s="33">
        <f>'Stavební rozpočet'!H50</f>
        <v>0</v>
      </c>
      <c r="G49" s="33">
        <f t="shared" si="4"/>
        <v>0</v>
      </c>
      <c r="H49" s="33">
        <f t="shared" si="5"/>
        <v>0</v>
      </c>
      <c r="I49" s="33">
        <f t="shared" si="6"/>
        <v>0</v>
      </c>
      <c r="J49" s="33">
        <f>'Stavební rozpočet'!N50</f>
        <v>4.5690000000000001E-2</v>
      </c>
      <c r="K49" s="56">
        <f t="shared" si="7"/>
        <v>6.542808</v>
      </c>
      <c r="HV49" s="3" t="s">
        <v>168</v>
      </c>
      <c r="HW49" s="3" t="s">
        <v>365</v>
      </c>
      <c r="IR49" s="57">
        <f>F49*0.017890411</f>
        <v>0</v>
      </c>
      <c r="IS49" s="57">
        <f>F49*(1-0.017890411)</f>
        <v>0</v>
      </c>
    </row>
    <row r="50" spans="1:253" ht="14.4" x14ac:dyDescent="0.3">
      <c r="A50" s="55">
        <v>28</v>
      </c>
      <c r="B50" s="3" t="s">
        <v>178</v>
      </c>
      <c r="C50" s="5" t="s">
        <v>179</v>
      </c>
      <c r="D50" s="3" t="s">
        <v>139</v>
      </c>
      <c r="E50" s="33">
        <f>'Stavební rozpočet'!G51</f>
        <v>2</v>
      </c>
      <c r="F50" s="33">
        <f>'Stavební rozpočet'!H51</f>
        <v>0</v>
      </c>
      <c r="G50" s="33">
        <f t="shared" si="4"/>
        <v>0</v>
      </c>
      <c r="H50" s="33">
        <f t="shared" si="5"/>
        <v>0</v>
      </c>
      <c r="I50" s="33">
        <f t="shared" si="6"/>
        <v>0</v>
      </c>
      <c r="J50" s="33">
        <f>'Stavební rozpočet'!N51</f>
        <v>1E-3</v>
      </c>
      <c r="K50" s="56">
        <f t="shared" si="7"/>
        <v>2E-3</v>
      </c>
      <c r="HV50" s="3" t="s">
        <v>168</v>
      </c>
      <c r="HW50" s="3" t="s">
        <v>366</v>
      </c>
      <c r="IR50" s="57">
        <f>F50*1</f>
        <v>0</v>
      </c>
      <c r="IS50" s="57">
        <f>F50*(1-1)</f>
        <v>0</v>
      </c>
    </row>
    <row r="51" spans="1:253" ht="14.4" x14ac:dyDescent="0.3">
      <c r="A51" s="55">
        <v>29</v>
      </c>
      <c r="B51" s="3" t="s">
        <v>181</v>
      </c>
      <c r="C51" s="5" t="s">
        <v>182</v>
      </c>
      <c r="D51" s="3" t="s">
        <v>88</v>
      </c>
      <c r="E51" s="33">
        <f>'Stavební rozpočet'!G52</f>
        <v>162.3511</v>
      </c>
      <c r="F51" s="33">
        <f>'Stavební rozpočet'!H52</f>
        <v>0</v>
      </c>
      <c r="G51" s="33">
        <f t="shared" si="4"/>
        <v>0</v>
      </c>
      <c r="H51" s="33">
        <f t="shared" si="5"/>
        <v>0</v>
      </c>
      <c r="I51" s="33">
        <f t="shared" si="6"/>
        <v>0</v>
      </c>
      <c r="J51" s="33">
        <f>'Stavební rozpočet'!N52</f>
        <v>7.0000000000000001E-3</v>
      </c>
      <c r="K51" s="56">
        <f t="shared" si="7"/>
        <v>1.1364577</v>
      </c>
      <c r="HV51" s="3" t="s">
        <v>168</v>
      </c>
      <c r="HW51" s="3" t="s">
        <v>366</v>
      </c>
      <c r="IR51" s="57">
        <f>F51*1</f>
        <v>0</v>
      </c>
      <c r="IS51" s="57">
        <f>F51*(1-1)</f>
        <v>0</v>
      </c>
    </row>
    <row r="52" spans="1:253" ht="14.4" x14ac:dyDescent="0.3">
      <c r="A52" s="55">
        <v>30</v>
      </c>
      <c r="B52" s="3" t="s">
        <v>184</v>
      </c>
      <c r="C52" s="5" t="s">
        <v>185</v>
      </c>
      <c r="D52" s="3" t="s">
        <v>88</v>
      </c>
      <c r="E52" s="33">
        <f>'Stavební rozpočet'!G53</f>
        <v>0.39200000000000002</v>
      </c>
      <c r="F52" s="33">
        <f>'Stavební rozpočet'!H53</f>
        <v>0</v>
      </c>
      <c r="G52" s="33">
        <f t="shared" si="4"/>
        <v>0</v>
      </c>
      <c r="H52" s="33">
        <f t="shared" si="5"/>
        <v>0</v>
      </c>
      <c r="I52" s="33">
        <f t="shared" si="6"/>
        <v>0</v>
      </c>
      <c r="J52" s="33">
        <f>'Stavební rozpočet'!N53</f>
        <v>5.1500000000000001E-3</v>
      </c>
      <c r="K52" s="56">
        <f t="shared" si="7"/>
        <v>2.0188000000000003E-3</v>
      </c>
      <c r="HV52" s="3" t="s">
        <v>168</v>
      </c>
      <c r="HW52" s="3" t="s">
        <v>366</v>
      </c>
      <c r="IR52" s="57">
        <f>F52*1</f>
        <v>0</v>
      </c>
      <c r="IS52" s="57">
        <f>F52*(1-1)</f>
        <v>0</v>
      </c>
    </row>
    <row r="53" spans="1:253" ht="14.4" x14ac:dyDescent="0.3">
      <c r="A53" s="55">
        <v>31</v>
      </c>
      <c r="B53" s="3" t="s">
        <v>187</v>
      </c>
      <c r="C53" s="5" t="s">
        <v>188</v>
      </c>
      <c r="D53" s="3" t="s">
        <v>88</v>
      </c>
      <c r="E53" s="33">
        <f>'Stavební rozpočet'!G54</f>
        <v>143.19999999999999</v>
      </c>
      <c r="F53" s="33">
        <f>'Stavební rozpočet'!H54</f>
        <v>0</v>
      </c>
      <c r="G53" s="33">
        <f t="shared" si="4"/>
        <v>0</v>
      </c>
      <c r="H53" s="33">
        <f t="shared" si="5"/>
        <v>0</v>
      </c>
      <c r="I53" s="33">
        <f t="shared" si="6"/>
        <v>0</v>
      </c>
      <c r="J53" s="33">
        <f>'Stavební rozpočet'!N54</f>
        <v>0</v>
      </c>
      <c r="K53" s="56">
        <f t="shared" si="7"/>
        <v>0</v>
      </c>
      <c r="HV53" s="3" t="s">
        <v>168</v>
      </c>
      <c r="HW53" s="3" t="s">
        <v>366</v>
      </c>
      <c r="IR53" s="57">
        <f>F53*1</f>
        <v>0</v>
      </c>
      <c r="IS53" s="57">
        <f>F53*(1-1)</f>
        <v>0</v>
      </c>
    </row>
    <row r="54" spans="1:253" ht="14.4" x14ac:dyDescent="0.3">
      <c r="A54" s="55">
        <v>32</v>
      </c>
      <c r="B54" s="3" t="s">
        <v>190</v>
      </c>
      <c r="C54" s="5" t="s">
        <v>191</v>
      </c>
      <c r="D54" s="3" t="s">
        <v>119</v>
      </c>
      <c r="E54" s="33">
        <f>'Stavební rozpočet'!G55</f>
        <v>5.33</v>
      </c>
      <c r="F54" s="33">
        <f>'Stavební rozpočet'!H55</f>
        <v>0</v>
      </c>
      <c r="G54" s="33">
        <f t="shared" si="4"/>
        <v>0</v>
      </c>
      <c r="H54" s="33">
        <f t="shared" si="5"/>
        <v>0</v>
      </c>
      <c r="I54" s="33">
        <f t="shared" si="6"/>
        <v>0</v>
      </c>
      <c r="J54" s="33">
        <f>'Stavební rozpočet'!N55</f>
        <v>0</v>
      </c>
      <c r="K54" s="56">
        <f t="shared" si="7"/>
        <v>0</v>
      </c>
      <c r="HV54" s="3" t="s">
        <v>168</v>
      </c>
      <c r="HW54" s="3" t="s">
        <v>365</v>
      </c>
      <c r="IR54" s="57">
        <f>F54*0</f>
        <v>0</v>
      </c>
      <c r="IS54" s="57">
        <f>F54*(1-0)</f>
        <v>0</v>
      </c>
    </row>
    <row r="55" spans="1:253" ht="14.4" x14ac:dyDescent="0.3">
      <c r="A55" s="58" t="s">
        <v>4</v>
      </c>
      <c r="B55" s="37" t="s">
        <v>192</v>
      </c>
      <c r="C55" s="38" t="s">
        <v>193</v>
      </c>
      <c r="D55" s="37" t="s">
        <v>4</v>
      </c>
      <c r="E55" s="13" t="s">
        <v>4</v>
      </c>
      <c r="F55" s="13" t="s">
        <v>4</v>
      </c>
      <c r="G55" s="1">
        <f>SUM(G56:G58)</f>
        <v>0</v>
      </c>
      <c r="H55" s="1">
        <f>SUM(H56:H58)</f>
        <v>0</v>
      </c>
      <c r="I55" s="1">
        <f>SUM(I56:I58)</f>
        <v>0</v>
      </c>
      <c r="J55" s="13" t="s">
        <v>4</v>
      </c>
      <c r="K55" s="59">
        <f>SUM(K56:K58)</f>
        <v>0</v>
      </c>
    </row>
    <row r="56" spans="1:253" ht="14.4" x14ac:dyDescent="0.3">
      <c r="A56" s="55">
        <v>33</v>
      </c>
      <c r="B56" s="3" t="s">
        <v>195</v>
      </c>
      <c r="C56" s="5" t="s">
        <v>196</v>
      </c>
      <c r="D56" s="3" t="s">
        <v>197</v>
      </c>
      <c r="E56" s="33">
        <f>'Stavební rozpočet'!G57</f>
        <v>65</v>
      </c>
      <c r="F56" s="33">
        <f>'Stavební rozpočet'!H57</f>
        <v>0</v>
      </c>
      <c r="G56" s="33">
        <f>IR56*E56</f>
        <v>0</v>
      </c>
      <c r="H56" s="33">
        <f>IS56*E56</f>
        <v>0</v>
      </c>
      <c r="I56" s="33">
        <f>IR56*E56+IS56*E56</f>
        <v>0</v>
      </c>
      <c r="J56" s="33">
        <f>'Stavební rozpočet'!N57</f>
        <v>0</v>
      </c>
      <c r="K56" s="56">
        <f>J56*E56</f>
        <v>0</v>
      </c>
      <c r="HV56" s="3" t="s">
        <v>192</v>
      </c>
      <c r="HW56" s="3" t="s">
        <v>365</v>
      </c>
      <c r="IR56" s="57">
        <f>F56*0</f>
        <v>0</v>
      </c>
      <c r="IS56" s="57">
        <f>F56*(1-0)</f>
        <v>0</v>
      </c>
    </row>
    <row r="57" spans="1:253" ht="26.4" x14ac:dyDescent="0.3">
      <c r="A57" s="55">
        <v>34</v>
      </c>
      <c r="B57" s="3" t="s">
        <v>201</v>
      </c>
      <c r="C57" s="5" t="s">
        <v>202</v>
      </c>
      <c r="D57" s="3" t="s">
        <v>197</v>
      </c>
      <c r="E57" s="33">
        <f>'Stavební rozpočet'!G58</f>
        <v>350</v>
      </c>
      <c r="F57" s="33">
        <f>'Stavební rozpočet'!H58</f>
        <v>0</v>
      </c>
      <c r="G57" s="33">
        <f>IR57*E57</f>
        <v>0</v>
      </c>
      <c r="H57" s="33">
        <f>IS57*E57</f>
        <v>0</v>
      </c>
      <c r="I57" s="33">
        <f>IR57*E57+IS57*E57</f>
        <v>0</v>
      </c>
      <c r="J57" s="33">
        <f>'Stavební rozpočet'!N58</f>
        <v>0</v>
      </c>
      <c r="K57" s="56">
        <f>J57*E57</f>
        <v>0</v>
      </c>
      <c r="HV57" s="3" t="s">
        <v>192</v>
      </c>
      <c r="HW57" s="3" t="s">
        <v>365</v>
      </c>
      <c r="IR57" s="57">
        <f>F57*0</f>
        <v>0</v>
      </c>
      <c r="IS57" s="57">
        <f>F57*(1-0)</f>
        <v>0</v>
      </c>
    </row>
    <row r="58" spans="1:253" ht="26.4" x14ac:dyDescent="0.3">
      <c r="A58" s="55">
        <v>35</v>
      </c>
      <c r="B58" s="3" t="s">
        <v>204</v>
      </c>
      <c r="C58" s="5" t="s">
        <v>202</v>
      </c>
      <c r="D58" s="3" t="s">
        <v>197</v>
      </c>
      <c r="E58" s="33">
        <f>'Stavební rozpočet'!G59</f>
        <v>100</v>
      </c>
      <c r="F58" s="33">
        <f>'Stavební rozpočet'!H59</f>
        <v>0</v>
      </c>
      <c r="G58" s="33">
        <f>IR58*E58</f>
        <v>0</v>
      </c>
      <c r="H58" s="33">
        <f>IS58*E58</f>
        <v>0</v>
      </c>
      <c r="I58" s="33">
        <f>IR58*E58+IS58*E58</f>
        <v>0</v>
      </c>
      <c r="J58" s="33">
        <f>'Stavební rozpočet'!N59</f>
        <v>0</v>
      </c>
      <c r="K58" s="56">
        <f>J58*E58</f>
        <v>0</v>
      </c>
      <c r="HV58" s="3" t="s">
        <v>192</v>
      </c>
      <c r="HW58" s="3" t="s">
        <v>365</v>
      </c>
      <c r="IR58" s="57">
        <f>F58*0</f>
        <v>0</v>
      </c>
      <c r="IS58" s="57">
        <f>F58*(1-0)</f>
        <v>0</v>
      </c>
    </row>
    <row r="59" spans="1:253" ht="14.4" x14ac:dyDescent="0.3">
      <c r="A59" s="58" t="s">
        <v>4</v>
      </c>
      <c r="B59" s="37" t="s">
        <v>205</v>
      </c>
      <c r="C59" s="38" t="s">
        <v>206</v>
      </c>
      <c r="D59" s="37" t="s">
        <v>4</v>
      </c>
      <c r="E59" s="13" t="s">
        <v>4</v>
      </c>
      <c r="F59" s="13" t="s">
        <v>4</v>
      </c>
      <c r="G59" s="1">
        <f>SUM(G60:G60)</f>
        <v>0</v>
      </c>
      <c r="H59" s="1">
        <f>SUM(H60:H60)</f>
        <v>0</v>
      </c>
      <c r="I59" s="1">
        <f>SUM(I60:I60)</f>
        <v>0</v>
      </c>
      <c r="J59" s="13" t="s">
        <v>4</v>
      </c>
      <c r="K59" s="59">
        <f>SUM(K60:K60)</f>
        <v>0</v>
      </c>
    </row>
    <row r="60" spans="1:253" ht="14.4" x14ac:dyDescent="0.3">
      <c r="A60" s="55">
        <v>36</v>
      </c>
      <c r="B60" s="3" t="s">
        <v>208</v>
      </c>
      <c r="C60" s="5" t="s">
        <v>209</v>
      </c>
      <c r="D60" s="3" t="s">
        <v>88</v>
      </c>
      <c r="E60" s="33">
        <f>'Stavební rozpočet'!G61</f>
        <v>1866</v>
      </c>
      <c r="F60" s="33">
        <f>'Stavební rozpočet'!H61</f>
        <v>0</v>
      </c>
      <c r="G60" s="33">
        <f>IR60*E60</f>
        <v>0</v>
      </c>
      <c r="H60" s="33">
        <f>IS60*E60</f>
        <v>0</v>
      </c>
      <c r="I60" s="33">
        <f>IR60*E60+IS60*E60</f>
        <v>0</v>
      </c>
      <c r="J60" s="33">
        <f>'Stavební rozpočet'!N61</f>
        <v>0</v>
      </c>
      <c r="K60" s="56">
        <f>J60*E60</f>
        <v>0</v>
      </c>
      <c r="HV60" s="3" t="s">
        <v>205</v>
      </c>
      <c r="HW60" s="3" t="s">
        <v>365</v>
      </c>
      <c r="IR60" s="57">
        <f>F60*0</f>
        <v>0</v>
      </c>
      <c r="IS60" s="57">
        <f>F60*(1-0)</f>
        <v>0</v>
      </c>
    </row>
    <row r="61" spans="1:253" ht="14.4" x14ac:dyDescent="0.3">
      <c r="A61" s="58" t="s">
        <v>4</v>
      </c>
      <c r="B61" s="37" t="s">
        <v>211</v>
      </c>
      <c r="C61" s="38" t="s">
        <v>212</v>
      </c>
      <c r="D61" s="37" t="s">
        <v>4</v>
      </c>
      <c r="E61" s="13" t="s">
        <v>4</v>
      </c>
      <c r="F61" s="13" t="s">
        <v>4</v>
      </c>
      <c r="G61" s="1">
        <f>SUM(G62:G65)</f>
        <v>0</v>
      </c>
      <c r="H61" s="1">
        <f>SUM(H62:H65)</f>
        <v>0</v>
      </c>
      <c r="I61" s="1">
        <f>SUM(I62:I65)</f>
        <v>0</v>
      </c>
      <c r="J61" s="13" t="s">
        <v>4</v>
      </c>
      <c r="K61" s="59">
        <f>SUM(K62:K65)</f>
        <v>22.204799999999999</v>
      </c>
    </row>
    <row r="62" spans="1:253" ht="14.4" x14ac:dyDescent="0.3">
      <c r="A62" s="55">
        <v>37</v>
      </c>
      <c r="B62" s="3" t="s">
        <v>214</v>
      </c>
      <c r="C62" s="5" t="s">
        <v>215</v>
      </c>
      <c r="D62" s="3" t="s">
        <v>88</v>
      </c>
      <c r="E62" s="33">
        <f>'Stavební rozpočet'!G63</f>
        <v>960</v>
      </c>
      <c r="F62" s="33">
        <f>'Stavební rozpočet'!H63</f>
        <v>0</v>
      </c>
      <c r="G62" s="33">
        <f>IR62*E62</f>
        <v>0</v>
      </c>
      <c r="H62" s="33">
        <f>IS62*E62</f>
        <v>0</v>
      </c>
      <c r="I62" s="33">
        <f>IR62*E62+IS62*E62</f>
        <v>0</v>
      </c>
      <c r="J62" s="33">
        <f>'Stavební rozpočet'!N63</f>
        <v>1.8380000000000001E-2</v>
      </c>
      <c r="K62" s="56">
        <f>J62*E62</f>
        <v>17.6448</v>
      </c>
      <c r="HV62" s="3" t="s">
        <v>211</v>
      </c>
      <c r="HW62" s="3" t="s">
        <v>365</v>
      </c>
      <c r="IR62" s="57">
        <f>F62*0.000232019</f>
        <v>0</v>
      </c>
      <c r="IS62" s="57">
        <f>F62*(1-0.000232019)</f>
        <v>0</v>
      </c>
    </row>
    <row r="63" spans="1:253" ht="14.4" x14ac:dyDescent="0.3">
      <c r="A63" s="55">
        <v>38</v>
      </c>
      <c r="B63" s="3" t="s">
        <v>218</v>
      </c>
      <c r="C63" s="5" t="s">
        <v>219</v>
      </c>
      <c r="D63" s="3" t="s">
        <v>88</v>
      </c>
      <c r="E63" s="33">
        <f>'Stavební rozpočet'!G64</f>
        <v>4800</v>
      </c>
      <c r="F63" s="33">
        <f>'Stavební rozpočet'!H64</f>
        <v>0</v>
      </c>
      <c r="G63" s="33">
        <f>IR63*E63</f>
        <v>0</v>
      </c>
      <c r="H63" s="33">
        <f>IS63*E63</f>
        <v>0</v>
      </c>
      <c r="I63" s="33">
        <f>IR63*E63+IS63*E63</f>
        <v>0</v>
      </c>
      <c r="J63" s="33">
        <f>'Stavební rozpočet'!N64</f>
        <v>9.5E-4</v>
      </c>
      <c r="K63" s="56">
        <f>J63*E63</f>
        <v>4.5599999999999996</v>
      </c>
      <c r="HV63" s="3" t="s">
        <v>211</v>
      </c>
      <c r="HW63" s="3" t="s">
        <v>365</v>
      </c>
      <c r="IR63" s="57">
        <f>F63*0.936815068</f>
        <v>0</v>
      </c>
      <c r="IS63" s="57">
        <f>F63*(1-0.936815068)</f>
        <v>0</v>
      </c>
    </row>
    <row r="64" spans="1:253" ht="14.4" x14ac:dyDescent="0.3">
      <c r="A64" s="55">
        <v>39</v>
      </c>
      <c r="B64" s="3" t="s">
        <v>221</v>
      </c>
      <c r="C64" s="5" t="s">
        <v>222</v>
      </c>
      <c r="D64" s="3" t="s">
        <v>88</v>
      </c>
      <c r="E64" s="33">
        <f>'Stavební rozpočet'!G65</f>
        <v>960</v>
      </c>
      <c r="F64" s="33">
        <f>'Stavební rozpočet'!H65</f>
        <v>0</v>
      </c>
      <c r="G64" s="33">
        <f>IR64*E64</f>
        <v>0</v>
      </c>
      <c r="H64" s="33">
        <f>IS64*E64</f>
        <v>0</v>
      </c>
      <c r="I64" s="33">
        <f>IR64*E64+IS64*E64</f>
        <v>0</v>
      </c>
      <c r="J64" s="33">
        <f>'Stavební rozpočet'!N65</f>
        <v>0</v>
      </c>
      <c r="K64" s="56">
        <f>J64*E64</f>
        <v>0</v>
      </c>
      <c r="HV64" s="3" t="s">
        <v>211</v>
      </c>
      <c r="HW64" s="3" t="s">
        <v>365</v>
      </c>
      <c r="IR64" s="57">
        <f>F64*0</f>
        <v>0</v>
      </c>
      <c r="IS64" s="57">
        <f>F64*(1-0)</f>
        <v>0</v>
      </c>
    </row>
    <row r="65" spans="1:253" ht="14.4" x14ac:dyDescent="0.3">
      <c r="A65" s="55">
        <v>40</v>
      </c>
      <c r="B65" s="3" t="s">
        <v>224</v>
      </c>
      <c r="C65" s="5" t="s">
        <v>225</v>
      </c>
      <c r="D65" s="3" t="s">
        <v>119</v>
      </c>
      <c r="E65" s="33">
        <f>'Stavební rozpočet'!G66</f>
        <v>22.204799999999999</v>
      </c>
      <c r="F65" s="33">
        <f>'Stavební rozpočet'!H66</f>
        <v>0</v>
      </c>
      <c r="G65" s="33">
        <f>IR65*E65</f>
        <v>0</v>
      </c>
      <c r="H65" s="33">
        <f>IS65*E65</f>
        <v>0</v>
      </c>
      <c r="I65" s="33">
        <f>IR65*E65+IS65*E65</f>
        <v>0</v>
      </c>
      <c r="J65" s="33">
        <f>'Stavební rozpočet'!N66</f>
        <v>0</v>
      </c>
      <c r="K65" s="56">
        <f>J65*E65</f>
        <v>0</v>
      </c>
      <c r="HV65" s="3" t="s">
        <v>211</v>
      </c>
      <c r="HW65" s="3" t="s">
        <v>365</v>
      </c>
      <c r="IR65" s="57">
        <f>F65*0</f>
        <v>0</v>
      </c>
      <c r="IS65" s="57">
        <f>F65*(1-0)</f>
        <v>0</v>
      </c>
    </row>
    <row r="66" spans="1:253" ht="14.4" x14ac:dyDescent="0.3">
      <c r="A66" s="58" t="s">
        <v>4</v>
      </c>
      <c r="B66" s="37" t="s">
        <v>226</v>
      </c>
      <c r="C66" s="38" t="s">
        <v>227</v>
      </c>
      <c r="D66" s="37" t="s">
        <v>4</v>
      </c>
      <c r="E66" s="13" t="s">
        <v>4</v>
      </c>
      <c r="F66" s="13" t="s">
        <v>4</v>
      </c>
      <c r="G66" s="1">
        <f>SUM(G67:G74)</f>
        <v>0</v>
      </c>
      <c r="H66" s="1">
        <f>SUM(H67:H74)</f>
        <v>0</v>
      </c>
      <c r="I66" s="1">
        <f>SUM(I67:I74)</f>
        <v>0</v>
      </c>
      <c r="J66" s="13" t="s">
        <v>4</v>
      </c>
      <c r="K66" s="59">
        <f>SUM(K67:K74)</f>
        <v>7.7054000000000011E-2</v>
      </c>
    </row>
    <row r="67" spans="1:253" ht="14.4" x14ac:dyDescent="0.3">
      <c r="A67" s="55">
        <v>43</v>
      </c>
      <c r="B67" s="3" t="s">
        <v>229</v>
      </c>
      <c r="C67" s="5" t="s">
        <v>230</v>
      </c>
      <c r="D67" s="3" t="s">
        <v>125</v>
      </c>
      <c r="E67" s="33">
        <f>'Stavební rozpočet'!G68</f>
        <v>60</v>
      </c>
      <c r="F67" s="33">
        <f>'Stavební rozpočet'!H68</f>
        <v>0</v>
      </c>
      <c r="G67" s="33">
        <f t="shared" ref="G67:G74" si="8">IR67*E67</f>
        <v>0</v>
      </c>
      <c r="H67" s="33">
        <f t="shared" ref="H67:H74" si="9">IS67*E67</f>
        <v>0</v>
      </c>
      <c r="I67" s="33">
        <f t="shared" ref="I67:I74" si="10">IR67*E67+IS67*E67</f>
        <v>0</v>
      </c>
      <c r="J67" s="33">
        <f>'Stavební rozpočet'!N68</f>
        <v>9.8999999999999999E-4</v>
      </c>
      <c r="K67" s="56">
        <f t="shared" ref="K67:K74" si="11">J67*E67</f>
        <v>5.9400000000000001E-2</v>
      </c>
      <c r="HV67" s="3" t="s">
        <v>226</v>
      </c>
      <c r="HW67" s="3" t="s">
        <v>365</v>
      </c>
      <c r="IR67" s="57">
        <f>F67*0.389201028</f>
        <v>0</v>
      </c>
      <c r="IS67" s="57">
        <f>F67*(1-0.389201028)</f>
        <v>0</v>
      </c>
    </row>
    <row r="68" spans="1:253" ht="14.4" x14ac:dyDescent="0.3">
      <c r="A68" s="55">
        <v>44</v>
      </c>
      <c r="B68" s="3" t="s">
        <v>233</v>
      </c>
      <c r="C68" s="5" t="s">
        <v>234</v>
      </c>
      <c r="D68" s="3" t="s">
        <v>139</v>
      </c>
      <c r="E68" s="33">
        <f>'Stavební rozpočet'!G69</f>
        <v>2</v>
      </c>
      <c r="F68" s="33">
        <f>'Stavební rozpočet'!H69</f>
        <v>0</v>
      </c>
      <c r="G68" s="33">
        <f t="shared" si="8"/>
        <v>0</v>
      </c>
      <c r="H68" s="33">
        <f t="shared" si="9"/>
        <v>0</v>
      </c>
      <c r="I68" s="33">
        <f t="shared" si="10"/>
        <v>0</v>
      </c>
      <c r="J68" s="33">
        <f>'Stavební rozpočet'!N69</f>
        <v>0</v>
      </c>
      <c r="K68" s="56">
        <f t="shared" si="11"/>
        <v>0</v>
      </c>
      <c r="HV68" s="3" t="s">
        <v>226</v>
      </c>
      <c r="HW68" s="3" t="s">
        <v>365</v>
      </c>
      <c r="IR68" s="57">
        <f>F68*0</f>
        <v>0</v>
      </c>
      <c r="IS68" s="57">
        <f>F68*(1-0)</f>
        <v>0</v>
      </c>
    </row>
    <row r="69" spans="1:253" ht="14.4" x14ac:dyDescent="0.3">
      <c r="A69" s="55">
        <v>45</v>
      </c>
      <c r="B69" s="3" t="s">
        <v>236</v>
      </c>
      <c r="C69" s="5" t="s">
        <v>237</v>
      </c>
      <c r="D69" s="3" t="s">
        <v>139</v>
      </c>
      <c r="E69" s="33">
        <f>'Stavební rozpočet'!G70</f>
        <v>2</v>
      </c>
      <c r="F69" s="33">
        <f>'Stavební rozpočet'!H70</f>
        <v>0</v>
      </c>
      <c r="G69" s="33">
        <f t="shared" si="8"/>
        <v>0</v>
      </c>
      <c r="H69" s="33">
        <f t="shared" si="9"/>
        <v>0</v>
      </c>
      <c r="I69" s="33">
        <f t="shared" si="10"/>
        <v>0</v>
      </c>
      <c r="J69" s="33">
        <f>'Stavební rozpočet'!N70</f>
        <v>1.1E-4</v>
      </c>
      <c r="K69" s="56">
        <f t="shared" si="11"/>
        <v>2.2000000000000001E-4</v>
      </c>
      <c r="HV69" s="3" t="s">
        <v>226</v>
      </c>
      <c r="HW69" s="3" t="s">
        <v>365</v>
      </c>
      <c r="IR69" s="57">
        <f>F69*0.101268657</f>
        <v>0</v>
      </c>
      <c r="IS69" s="57">
        <f>F69*(1-0.101268657)</f>
        <v>0</v>
      </c>
    </row>
    <row r="70" spans="1:253" ht="14.4" x14ac:dyDescent="0.3">
      <c r="A70" s="55">
        <v>46</v>
      </c>
      <c r="B70" s="3" t="s">
        <v>239</v>
      </c>
      <c r="C70" s="5" t="s">
        <v>240</v>
      </c>
      <c r="D70" s="3" t="s">
        <v>139</v>
      </c>
      <c r="E70" s="33">
        <f>'Stavební rozpočet'!G71</f>
        <v>2</v>
      </c>
      <c r="F70" s="33">
        <f>'Stavební rozpočet'!H71</f>
        <v>0</v>
      </c>
      <c r="G70" s="33">
        <f t="shared" si="8"/>
        <v>0</v>
      </c>
      <c r="H70" s="33">
        <f t="shared" si="9"/>
        <v>0</v>
      </c>
      <c r="I70" s="33">
        <f t="shared" si="10"/>
        <v>0</v>
      </c>
      <c r="J70" s="33">
        <f>'Stavební rozpočet'!N71</f>
        <v>3.64E-3</v>
      </c>
      <c r="K70" s="56">
        <f t="shared" si="11"/>
        <v>7.28E-3</v>
      </c>
      <c r="HV70" s="3" t="s">
        <v>226</v>
      </c>
      <c r="HW70" s="3" t="s">
        <v>365</v>
      </c>
      <c r="IR70" s="57">
        <f>F70*0.397335203</f>
        <v>0</v>
      </c>
      <c r="IS70" s="57">
        <f>F70*(1-0.397335203)</f>
        <v>0</v>
      </c>
    </row>
    <row r="71" spans="1:253" ht="14.4" x14ac:dyDescent="0.3">
      <c r="A71" s="55">
        <v>47</v>
      </c>
      <c r="B71" s="3" t="s">
        <v>242</v>
      </c>
      <c r="C71" s="5" t="s">
        <v>243</v>
      </c>
      <c r="D71" s="3" t="s">
        <v>139</v>
      </c>
      <c r="E71" s="33">
        <f>'Stavební rozpočet'!G72</f>
        <v>2</v>
      </c>
      <c r="F71" s="33">
        <f>'Stavební rozpočet'!H72</f>
        <v>0</v>
      </c>
      <c r="G71" s="33">
        <f t="shared" si="8"/>
        <v>0</v>
      </c>
      <c r="H71" s="33">
        <f t="shared" si="9"/>
        <v>0</v>
      </c>
      <c r="I71" s="33">
        <f t="shared" si="10"/>
        <v>0</v>
      </c>
      <c r="J71" s="33">
        <f>'Stavební rozpočet'!N72</f>
        <v>0</v>
      </c>
      <c r="K71" s="56">
        <f t="shared" si="11"/>
        <v>0</v>
      </c>
      <c r="HV71" s="3" t="s">
        <v>226</v>
      </c>
      <c r="HW71" s="3" t="s">
        <v>365</v>
      </c>
      <c r="IR71" s="57">
        <f>F71*0</f>
        <v>0</v>
      </c>
      <c r="IS71" s="57">
        <f>F71*(1-0)</f>
        <v>0</v>
      </c>
    </row>
    <row r="72" spans="1:253" ht="14.4" x14ac:dyDescent="0.3">
      <c r="A72" s="55">
        <v>48</v>
      </c>
      <c r="B72" s="3" t="s">
        <v>245</v>
      </c>
      <c r="C72" s="5" t="s">
        <v>246</v>
      </c>
      <c r="D72" s="3" t="s">
        <v>139</v>
      </c>
      <c r="E72" s="33">
        <f>'Stavební rozpočet'!G73</f>
        <v>2</v>
      </c>
      <c r="F72" s="33">
        <f>'Stavební rozpočet'!H73</f>
        <v>0</v>
      </c>
      <c r="G72" s="33">
        <f t="shared" si="8"/>
        <v>0</v>
      </c>
      <c r="H72" s="33">
        <f t="shared" si="9"/>
        <v>0</v>
      </c>
      <c r="I72" s="33">
        <f t="shared" si="10"/>
        <v>0</v>
      </c>
      <c r="J72" s="33">
        <f>'Stavební rozpočet'!N73</f>
        <v>0</v>
      </c>
      <c r="K72" s="56">
        <f t="shared" si="11"/>
        <v>0</v>
      </c>
      <c r="HV72" s="3" t="s">
        <v>226</v>
      </c>
      <c r="HW72" s="3" t="s">
        <v>365</v>
      </c>
      <c r="IR72" s="57">
        <f>F72*0.084837241</f>
        <v>0</v>
      </c>
      <c r="IS72" s="57">
        <f>F72*(1-0.084837241)</f>
        <v>0</v>
      </c>
    </row>
    <row r="73" spans="1:253" ht="14.4" x14ac:dyDescent="0.3">
      <c r="A73" s="55">
        <v>49</v>
      </c>
      <c r="B73" s="3" t="s">
        <v>248</v>
      </c>
      <c r="C73" s="5" t="s">
        <v>249</v>
      </c>
      <c r="D73" s="3" t="s">
        <v>250</v>
      </c>
      <c r="E73" s="33">
        <f>'Stavební rozpočet'!G74</f>
        <v>1</v>
      </c>
      <c r="F73" s="33">
        <f>'Stavební rozpočet'!H74</f>
        <v>0</v>
      </c>
      <c r="G73" s="33">
        <f t="shared" si="8"/>
        <v>0</v>
      </c>
      <c r="H73" s="33">
        <f t="shared" si="9"/>
        <v>0</v>
      </c>
      <c r="I73" s="33">
        <f t="shared" si="10"/>
        <v>0</v>
      </c>
      <c r="J73" s="33">
        <f>'Stavební rozpočet'!N74</f>
        <v>6.0000000000000002E-5</v>
      </c>
      <c r="K73" s="56">
        <f t="shared" si="11"/>
        <v>6.0000000000000002E-5</v>
      </c>
      <c r="HV73" s="3" t="s">
        <v>226</v>
      </c>
      <c r="HW73" s="3" t="s">
        <v>365</v>
      </c>
      <c r="IR73" s="57">
        <f>F73*0.123180622</f>
        <v>0</v>
      </c>
      <c r="IS73" s="57">
        <f>F73*(1-0.123180622)</f>
        <v>0</v>
      </c>
    </row>
    <row r="74" spans="1:253" ht="14.4" x14ac:dyDescent="0.3">
      <c r="A74" s="55">
        <v>50</v>
      </c>
      <c r="B74" s="3" t="s">
        <v>252</v>
      </c>
      <c r="C74" s="5" t="s">
        <v>253</v>
      </c>
      <c r="D74" s="3" t="s">
        <v>88</v>
      </c>
      <c r="E74" s="33">
        <f>'Stavební rozpočet'!G75</f>
        <v>20.6</v>
      </c>
      <c r="F74" s="33">
        <f>'Stavební rozpočet'!H75</f>
        <v>0</v>
      </c>
      <c r="G74" s="33">
        <f t="shared" si="8"/>
        <v>0</v>
      </c>
      <c r="H74" s="33">
        <f t="shared" si="9"/>
        <v>0</v>
      </c>
      <c r="I74" s="33">
        <f t="shared" si="10"/>
        <v>0</v>
      </c>
      <c r="J74" s="33">
        <f>'Stavební rozpočet'!N75</f>
        <v>4.8999999999999998E-4</v>
      </c>
      <c r="K74" s="56">
        <f t="shared" si="11"/>
        <v>1.0094000000000001E-2</v>
      </c>
      <c r="HV74" s="3" t="s">
        <v>226</v>
      </c>
      <c r="HW74" s="3" t="s">
        <v>365</v>
      </c>
      <c r="IR74" s="57">
        <f>F74*0.370326087</f>
        <v>0</v>
      </c>
      <c r="IS74" s="57">
        <f>F74*(1-0.370326087)</f>
        <v>0</v>
      </c>
    </row>
    <row r="75" spans="1:253" ht="14.4" x14ac:dyDescent="0.3">
      <c r="A75" s="58" t="s">
        <v>4</v>
      </c>
      <c r="B75" s="37" t="s">
        <v>254</v>
      </c>
      <c r="C75" s="38" t="s">
        <v>255</v>
      </c>
      <c r="D75" s="37" t="s">
        <v>4</v>
      </c>
      <c r="E75" s="13" t="s">
        <v>4</v>
      </c>
      <c r="F75" s="13" t="s">
        <v>4</v>
      </c>
      <c r="G75" s="1">
        <f>SUM(G76:G108)</f>
        <v>0</v>
      </c>
      <c r="H75" s="1">
        <f>SUM(H76:H108)</f>
        <v>0</v>
      </c>
      <c r="I75" s="1">
        <f>SUM(I76:I108)</f>
        <v>0</v>
      </c>
      <c r="J75" s="13" t="s">
        <v>4</v>
      </c>
      <c r="K75" s="59">
        <f>SUM(K76:K108)</f>
        <v>2365.8766880820003</v>
      </c>
    </row>
    <row r="76" spans="1:253" ht="14.4" x14ac:dyDescent="0.3">
      <c r="A76" s="55">
        <v>51</v>
      </c>
      <c r="B76" s="3" t="s">
        <v>257</v>
      </c>
      <c r="C76" s="5" t="s">
        <v>258</v>
      </c>
      <c r="D76" s="3" t="s">
        <v>172</v>
      </c>
      <c r="E76" s="33">
        <f>'Stavební rozpočet'!G77</f>
        <v>37085.274400000002</v>
      </c>
      <c r="F76" s="33">
        <f>'Stavební rozpočet'!H77</f>
        <v>0</v>
      </c>
      <c r="G76" s="33">
        <f t="shared" ref="G76:G108" si="12">IR76*E76</f>
        <v>0</v>
      </c>
      <c r="H76" s="33">
        <f t="shared" ref="H76:H108" si="13">IS76*E76</f>
        <v>0</v>
      </c>
      <c r="I76" s="33">
        <f t="shared" ref="I76:I108" si="14">IR76*E76+IS76*E76</f>
        <v>0</v>
      </c>
      <c r="J76" s="33">
        <f>'Stavební rozpočet'!N77</f>
        <v>0</v>
      </c>
      <c r="K76" s="56">
        <f t="shared" ref="K76:K108" si="15">J76*E76</f>
        <v>0</v>
      </c>
      <c r="HV76" s="3" t="s">
        <v>254</v>
      </c>
      <c r="HW76" s="3" t="s">
        <v>365</v>
      </c>
      <c r="IR76" s="57">
        <f>F76*0.0335097</f>
        <v>0</v>
      </c>
      <c r="IS76" s="57">
        <f>F76*(1-0.0335097)</f>
        <v>0</v>
      </c>
    </row>
    <row r="77" spans="1:253" ht="14.4" x14ac:dyDescent="0.3">
      <c r="A77" s="55">
        <v>52</v>
      </c>
      <c r="B77" s="3" t="s">
        <v>261</v>
      </c>
      <c r="C77" s="5" t="s">
        <v>262</v>
      </c>
      <c r="D77" s="3" t="s">
        <v>172</v>
      </c>
      <c r="E77" s="33">
        <f>'Stavební rozpočet'!G78</f>
        <v>45928.114800000003</v>
      </c>
      <c r="F77" s="33">
        <f>'Stavební rozpočet'!H78</f>
        <v>0</v>
      </c>
      <c r="G77" s="33">
        <f t="shared" si="12"/>
        <v>0</v>
      </c>
      <c r="H77" s="33">
        <f t="shared" si="13"/>
        <v>0</v>
      </c>
      <c r="I77" s="33">
        <f t="shared" si="14"/>
        <v>0</v>
      </c>
      <c r="J77" s="33">
        <f>'Stavební rozpočet'!N78</f>
        <v>4.5690000000000001E-2</v>
      </c>
      <c r="K77" s="56">
        <f t="shared" si="15"/>
        <v>2098.4555652120002</v>
      </c>
      <c r="HV77" s="3" t="s">
        <v>254</v>
      </c>
      <c r="HW77" s="3" t="s">
        <v>365</v>
      </c>
      <c r="IR77" s="57">
        <f>F77*0.856137608</f>
        <v>0</v>
      </c>
      <c r="IS77" s="57">
        <f>F77*(1-0.856137608)</f>
        <v>0</v>
      </c>
    </row>
    <row r="78" spans="1:253" ht="14.4" x14ac:dyDescent="0.3">
      <c r="A78" s="55">
        <v>53</v>
      </c>
      <c r="B78" s="3" t="s">
        <v>261</v>
      </c>
      <c r="C78" s="5" t="s">
        <v>264</v>
      </c>
      <c r="D78" s="3" t="s">
        <v>172</v>
      </c>
      <c r="E78" s="33">
        <f>'Stavební rozpočet'!G79</f>
        <v>4956.3</v>
      </c>
      <c r="F78" s="33">
        <f>'Stavební rozpočet'!H79</f>
        <v>0</v>
      </c>
      <c r="G78" s="33">
        <f t="shared" si="12"/>
        <v>0</v>
      </c>
      <c r="H78" s="33">
        <f t="shared" si="13"/>
        <v>0</v>
      </c>
      <c r="I78" s="33">
        <f t="shared" si="14"/>
        <v>0</v>
      </c>
      <c r="J78" s="33">
        <f>'Stavební rozpočet'!N79</f>
        <v>4.5690000000000001E-2</v>
      </c>
      <c r="K78" s="56">
        <f t="shared" si="15"/>
        <v>226.45334700000001</v>
      </c>
      <c r="HV78" s="3" t="s">
        <v>254</v>
      </c>
      <c r="HW78" s="3" t="s">
        <v>365</v>
      </c>
      <c r="IR78" s="57">
        <f>F78*0.856561086</f>
        <v>0</v>
      </c>
      <c r="IS78" s="57">
        <f>F78*(1-0.856561086)</f>
        <v>0</v>
      </c>
    </row>
    <row r="79" spans="1:253" ht="14.4" x14ac:dyDescent="0.3">
      <c r="A79" s="55">
        <v>54</v>
      </c>
      <c r="B79" s="3" t="s">
        <v>266</v>
      </c>
      <c r="C79" s="5" t="s">
        <v>267</v>
      </c>
      <c r="D79" s="3" t="s">
        <v>119</v>
      </c>
      <c r="E79" s="33">
        <f>'Stavební rozpočet'!G80</f>
        <v>1.9750000000000001</v>
      </c>
      <c r="F79" s="33">
        <f>'Stavební rozpočet'!H80</f>
        <v>0</v>
      </c>
      <c r="G79" s="33">
        <f t="shared" si="12"/>
        <v>0</v>
      </c>
      <c r="H79" s="33">
        <f t="shared" si="13"/>
        <v>0</v>
      </c>
      <c r="I79" s="33">
        <f t="shared" si="14"/>
        <v>0</v>
      </c>
      <c r="J79" s="33">
        <f>'Stavební rozpočet'!N80</f>
        <v>1</v>
      </c>
      <c r="K79" s="56">
        <f t="shared" si="15"/>
        <v>1.9750000000000001</v>
      </c>
      <c r="HV79" s="3" t="s">
        <v>254</v>
      </c>
      <c r="HW79" s="3" t="s">
        <v>366</v>
      </c>
      <c r="IR79" s="57">
        <f t="shared" ref="IR79:IR104" si="16">F79*1</f>
        <v>0</v>
      </c>
      <c r="IS79" s="57">
        <f t="shared" ref="IS79:IS104" si="17">F79*(1-1)</f>
        <v>0</v>
      </c>
    </row>
    <row r="80" spans="1:253" ht="14.4" x14ac:dyDescent="0.3">
      <c r="A80" s="55">
        <v>55</v>
      </c>
      <c r="B80" s="3" t="s">
        <v>269</v>
      </c>
      <c r="C80" s="5" t="s">
        <v>270</v>
      </c>
      <c r="D80" s="3" t="s">
        <v>119</v>
      </c>
      <c r="E80" s="33">
        <f>'Stavební rozpočet'!G81</f>
        <v>0.27360000000000001</v>
      </c>
      <c r="F80" s="33">
        <f>'Stavební rozpočet'!H81</f>
        <v>0</v>
      </c>
      <c r="G80" s="33">
        <f t="shared" si="12"/>
        <v>0</v>
      </c>
      <c r="H80" s="33">
        <f t="shared" si="13"/>
        <v>0</v>
      </c>
      <c r="I80" s="33">
        <f t="shared" si="14"/>
        <v>0</v>
      </c>
      <c r="J80" s="33">
        <f>'Stavební rozpočet'!N81</f>
        <v>1</v>
      </c>
      <c r="K80" s="56">
        <f t="shared" si="15"/>
        <v>0.27360000000000001</v>
      </c>
      <c r="HV80" s="3" t="s">
        <v>254</v>
      </c>
      <c r="HW80" s="3" t="s">
        <v>366</v>
      </c>
      <c r="IR80" s="57">
        <f t="shared" si="16"/>
        <v>0</v>
      </c>
      <c r="IS80" s="57">
        <f t="shared" si="17"/>
        <v>0</v>
      </c>
    </row>
    <row r="81" spans="1:253" ht="14.4" x14ac:dyDescent="0.3">
      <c r="A81" s="55">
        <v>56</v>
      </c>
      <c r="B81" s="3" t="s">
        <v>271</v>
      </c>
      <c r="C81" s="5" t="s">
        <v>272</v>
      </c>
      <c r="D81" s="3" t="s">
        <v>119</v>
      </c>
      <c r="E81" s="33">
        <f>'Stavební rozpočet'!G82</f>
        <v>5.45E-2</v>
      </c>
      <c r="F81" s="33">
        <f>'Stavební rozpočet'!H82</f>
        <v>0</v>
      </c>
      <c r="G81" s="33">
        <f t="shared" si="12"/>
        <v>0</v>
      </c>
      <c r="H81" s="33">
        <f t="shared" si="13"/>
        <v>0</v>
      </c>
      <c r="I81" s="33">
        <f t="shared" si="14"/>
        <v>0</v>
      </c>
      <c r="J81" s="33">
        <f>'Stavební rozpočet'!N82</f>
        <v>1</v>
      </c>
      <c r="K81" s="56">
        <f t="shared" si="15"/>
        <v>5.45E-2</v>
      </c>
      <c r="HV81" s="3" t="s">
        <v>254</v>
      </c>
      <c r="HW81" s="3" t="s">
        <v>366</v>
      </c>
      <c r="IR81" s="57">
        <f t="shared" si="16"/>
        <v>0</v>
      </c>
      <c r="IS81" s="57">
        <f t="shared" si="17"/>
        <v>0</v>
      </c>
    </row>
    <row r="82" spans="1:253" ht="14.4" x14ac:dyDescent="0.3">
      <c r="A82" s="55">
        <v>57</v>
      </c>
      <c r="B82" s="3" t="s">
        <v>274</v>
      </c>
      <c r="C82" s="5" t="s">
        <v>275</v>
      </c>
      <c r="D82" s="3" t="s">
        <v>119</v>
      </c>
      <c r="E82" s="33">
        <f>'Stavební rozpočet'!G83</f>
        <v>0.43120000000000003</v>
      </c>
      <c r="F82" s="33">
        <f>'Stavební rozpočet'!H83</f>
        <v>0</v>
      </c>
      <c r="G82" s="33">
        <f t="shared" si="12"/>
        <v>0</v>
      </c>
      <c r="H82" s="33">
        <f t="shared" si="13"/>
        <v>0</v>
      </c>
      <c r="I82" s="33">
        <f t="shared" si="14"/>
        <v>0</v>
      </c>
      <c r="J82" s="33">
        <f>'Stavební rozpočet'!N83</f>
        <v>1</v>
      </c>
      <c r="K82" s="56">
        <f t="shared" si="15"/>
        <v>0.43120000000000003</v>
      </c>
      <c r="HV82" s="3" t="s">
        <v>254</v>
      </c>
      <c r="HW82" s="3" t="s">
        <v>366</v>
      </c>
      <c r="IR82" s="57">
        <f t="shared" si="16"/>
        <v>0</v>
      </c>
      <c r="IS82" s="57">
        <f t="shared" si="17"/>
        <v>0</v>
      </c>
    </row>
    <row r="83" spans="1:253" ht="14.4" x14ac:dyDescent="0.3">
      <c r="A83" s="55">
        <v>58</v>
      </c>
      <c r="B83" s="3" t="s">
        <v>277</v>
      </c>
      <c r="C83" s="5" t="s">
        <v>278</v>
      </c>
      <c r="D83" s="3" t="s">
        <v>119</v>
      </c>
      <c r="E83" s="33">
        <f>'Stavební rozpočet'!G84</f>
        <v>1.0971</v>
      </c>
      <c r="F83" s="33">
        <f>'Stavební rozpočet'!H84</f>
        <v>0</v>
      </c>
      <c r="G83" s="33">
        <f t="shared" si="12"/>
        <v>0</v>
      </c>
      <c r="H83" s="33">
        <f t="shared" si="13"/>
        <v>0</v>
      </c>
      <c r="I83" s="33">
        <f t="shared" si="14"/>
        <v>0</v>
      </c>
      <c r="J83" s="33">
        <f>'Stavební rozpočet'!N84</f>
        <v>1</v>
      </c>
      <c r="K83" s="56">
        <f t="shared" si="15"/>
        <v>1.0971</v>
      </c>
      <c r="HV83" s="3" t="s">
        <v>254</v>
      </c>
      <c r="HW83" s="3" t="s">
        <v>366</v>
      </c>
      <c r="IR83" s="57">
        <f t="shared" si="16"/>
        <v>0</v>
      </c>
      <c r="IS83" s="57">
        <f t="shared" si="17"/>
        <v>0</v>
      </c>
    </row>
    <row r="84" spans="1:253" ht="14.4" x14ac:dyDescent="0.3">
      <c r="A84" s="55">
        <v>59</v>
      </c>
      <c r="B84" s="3" t="s">
        <v>280</v>
      </c>
      <c r="C84" s="5" t="s">
        <v>281</v>
      </c>
      <c r="D84" s="3" t="s">
        <v>119</v>
      </c>
      <c r="E84" s="33">
        <f>'Stavební rozpočet'!G85</f>
        <v>1.8441000000000001</v>
      </c>
      <c r="F84" s="33">
        <f>'Stavební rozpočet'!H85</f>
        <v>0</v>
      </c>
      <c r="G84" s="33">
        <f t="shared" si="12"/>
        <v>0</v>
      </c>
      <c r="H84" s="33">
        <f t="shared" si="13"/>
        <v>0</v>
      </c>
      <c r="I84" s="33">
        <f t="shared" si="14"/>
        <v>0</v>
      </c>
      <c r="J84" s="33">
        <f>'Stavební rozpočet'!N85</f>
        <v>1</v>
      </c>
      <c r="K84" s="56">
        <f t="shared" si="15"/>
        <v>1.8441000000000001</v>
      </c>
      <c r="HV84" s="3" t="s">
        <v>254</v>
      </c>
      <c r="HW84" s="3" t="s">
        <v>366</v>
      </c>
      <c r="IR84" s="57">
        <f t="shared" si="16"/>
        <v>0</v>
      </c>
      <c r="IS84" s="57">
        <f t="shared" si="17"/>
        <v>0</v>
      </c>
    </row>
    <row r="85" spans="1:253" ht="14.4" x14ac:dyDescent="0.3">
      <c r="A85" s="55">
        <v>60</v>
      </c>
      <c r="B85" s="3" t="s">
        <v>283</v>
      </c>
      <c r="C85" s="5" t="s">
        <v>284</v>
      </c>
      <c r="D85" s="3" t="s">
        <v>119</v>
      </c>
      <c r="E85" s="33">
        <f>'Stavební rozpočet'!G86</f>
        <v>0.13569999999999999</v>
      </c>
      <c r="F85" s="33">
        <f>'Stavební rozpočet'!H86</f>
        <v>0</v>
      </c>
      <c r="G85" s="33">
        <f t="shared" si="12"/>
        <v>0</v>
      </c>
      <c r="H85" s="33">
        <f t="shared" si="13"/>
        <v>0</v>
      </c>
      <c r="I85" s="33">
        <f t="shared" si="14"/>
        <v>0</v>
      </c>
      <c r="J85" s="33">
        <f>'Stavební rozpočet'!N86</f>
        <v>1</v>
      </c>
      <c r="K85" s="56">
        <f t="shared" si="15"/>
        <v>0.13569999999999999</v>
      </c>
      <c r="HV85" s="3" t="s">
        <v>254</v>
      </c>
      <c r="HW85" s="3" t="s">
        <v>366</v>
      </c>
      <c r="IR85" s="57">
        <f t="shared" si="16"/>
        <v>0</v>
      </c>
      <c r="IS85" s="57">
        <f t="shared" si="17"/>
        <v>0</v>
      </c>
    </row>
    <row r="86" spans="1:253" ht="14.4" x14ac:dyDescent="0.3">
      <c r="A86" s="55">
        <v>61</v>
      </c>
      <c r="B86" s="3" t="s">
        <v>286</v>
      </c>
      <c r="C86" s="5" t="s">
        <v>287</v>
      </c>
      <c r="D86" s="3" t="s">
        <v>119</v>
      </c>
      <c r="E86" s="33">
        <f>'Stavební rozpočet'!G87</f>
        <v>3.4590999999999998</v>
      </c>
      <c r="F86" s="33">
        <f>'Stavební rozpočet'!H87</f>
        <v>0</v>
      </c>
      <c r="G86" s="33">
        <f t="shared" si="12"/>
        <v>0</v>
      </c>
      <c r="H86" s="33">
        <f t="shared" si="13"/>
        <v>0</v>
      </c>
      <c r="I86" s="33">
        <f t="shared" si="14"/>
        <v>0</v>
      </c>
      <c r="J86" s="33">
        <f>'Stavební rozpočet'!N87</f>
        <v>1</v>
      </c>
      <c r="K86" s="56">
        <f t="shared" si="15"/>
        <v>3.4590999999999998</v>
      </c>
      <c r="HV86" s="3" t="s">
        <v>254</v>
      </c>
      <c r="HW86" s="3" t="s">
        <v>366</v>
      </c>
      <c r="IR86" s="57">
        <f t="shared" si="16"/>
        <v>0</v>
      </c>
      <c r="IS86" s="57">
        <f t="shared" si="17"/>
        <v>0</v>
      </c>
    </row>
    <row r="87" spans="1:253" ht="14.4" x14ac:dyDescent="0.3">
      <c r="A87" s="55">
        <v>62</v>
      </c>
      <c r="B87" s="3" t="s">
        <v>286</v>
      </c>
      <c r="C87" s="5" t="s">
        <v>289</v>
      </c>
      <c r="D87" s="3" t="s">
        <v>119</v>
      </c>
      <c r="E87" s="33">
        <f>'Stavební rozpočet'!G88</f>
        <v>0.34839999999999999</v>
      </c>
      <c r="F87" s="33">
        <f>'Stavební rozpočet'!H88</f>
        <v>0</v>
      </c>
      <c r="G87" s="33">
        <f t="shared" si="12"/>
        <v>0</v>
      </c>
      <c r="H87" s="33">
        <f t="shared" si="13"/>
        <v>0</v>
      </c>
      <c r="I87" s="33">
        <f t="shared" si="14"/>
        <v>0</v>
      </c>
      <c r="J87" s="33">
        <f>'Stavební rozpočet'!N88</f>
        <v>1</v>
      </c>
      <c r="K87" s="56">
        <f t="shared" si="15"/>
        <v>0.34839999999999999</v>
      </c>
      <c r="HV87" s="3" t="s">
        <v>254</v>
      </c>
      <c r="HW87" s="3" t="s">
        <v>366</v>
      </c>
      <c r="IR87" s="57">
        <f t="shared" si="16"/>
        <v>0</v>
      </c>
      <c r="IS87" s="57">
        <f t="shared" si="17"/>
        <v>0</v>
      </c>
    </row>
    <row r="88" spans="1:253" ht="14.4" x14ac:dyDescent="0.3">
      <c r="A88" s="55">
        <v>63</v>
      </c>
      <c r="B88" s="3" t="s">
        <v>291</v>
      </c>
      <c r="C88" s="5" t="s">
        <v>292</v>
      </c>
      <c r="D88" s="3" t="s">
        <v>119</v>
      </c>
      <c r="E88" s="33">
        <f>'Stavební rozpočet'!G89</f>
        <v>6.9964000000000004</v>
      </c>
      <c r="F88" s="33">
        <f>'Stavební rozpočet'!H89</f>
        <v>0</v>
      </c>
      <c r="G88" s="33">
        <f t="shared" si="12"/>
        <v>0</v>
      </c>
      <c r="H88" s="33">
        <f t="shared" si="13"/>
        <v>0</v>
      </c>
      <c r="I88" s="33">
        <f t="shared" si="14"/>
        <v>0</v>
      </c>
      <c r="J88" s="33">
        <f>'Stavební rozpočet'!N89</f>
        <v>1</v>
      </c>
      <c r="K88" s="56">
        <f t="shared" si="15"/>
        <v>6.9964000000000004</v>
      </c>
      <c r="HV88" s="3" t="s">
        <v>254</v>
      </c>
      <c r="HW88" s="3" t="s">
        <v>366</v>
      </c>
      <c r="IR88" s="57">
        <f t="shared" si="16"/>
        <v>0</v>
      </c>
      <c r="IS88" s="57">
        <f t="shared" si="17"/>
        <v>0</v>
      </c>
    </row>
    <row r="89" spans="1:253" ht="14.4" x14ac:dyDescent="0.3">
      <c r="A89" s="55">
        <v>64</v>
      </c>
      <c r="B89" s="3" t="s">
        <v>294</v>
      </c>
      <c r="C89" s="5" t="s">
        <v>295</v>
      </c>
      <c r="D89" s="3" t="s">
        <v>119</v>
      </c>
      <c r="E89" s="33">
        <f>'Stavební rozpočet'!G90</f>
        <v>8.0808</v>
      </c>
      <c r="F89" s="33">
        <f>'Stavební rozpočet'!H90</f>
        <v>0</v>
      </c>
      <c r="G89" s="33">
        <f t="shared" si="12"/>
        <v>0</v>
      </c>
      <c r="H89" s="33">
        <f t="shared" si="13"/>
        <v>0</v>
      </c>
      <c r="I89" s="33">
        <f t="shared" si="14"/>
        <v>0</v>
      </c>
      <c r="J89" s="33">
        <f>'Stavební rozpočet'!N90</f>
        <v>1</v>
      </c>
      <c r="K89" s="56">
        <f t="shared" si="15"/>
        <v>8.0808</v>
      </c>
      <c r="HV89" s="3" t="s">
        <v>254</v>
      </c>
      <c r="HW89" s="3" t="s">
        <v>366</v>
      </c>
      <c r="IR89" s="57">
        <f t="shared" si="16"/>
        <v>0</v>
      </c>
      <c r="IS89" s="57">
        <f t="shared" si="17"/>
        <v>0</v>
      </c>
    </row>
    <row r="90" spans="1:253" ht="14.4" x14ac:dyDescent="0.3">
      <c r="A90" s="55">
        <v>65</v>
      </c>
      <c r="B90" s="3" t="s">
        <v>297</v>
      </c>
      <c r="C90" s="5" t="s">
        <v>298</v>
      </c>
      <c r="D90" s="3" t="s">
        <v>119</v>
      </c>
      <c r="E90" s="33">
        <f>'Stavební rozpočet'!G91</f>
        <v>0.95679999999999998</v>
      </c>
      <c r="F90" s="33">
        <f>'Stavební rozpočet'!H91</f>
        <v>0</v>
      </c>
      <c r="G90" s="33">
        <f t="shared" si="12"/>
        <v>0</v>
      </c>
      <c r="H90" s="33">
        <f t="shared" si="13"/>
        <v>0</v>
      </c>
      <c r="I90" s="33">
        <f t="shared" si="14"/>
        <v>0</v>
      </c>
      <c r="J90" s="33">
        <f>'Stavební rozpočet'!N91</f>
        <v>1</v>
      </c>
      <c r="K90" s="56">
        <f t="shared" si="15"/>
        <v>0.95679999999999998</v>
      </c>
      <c r="HV90" s="3" t="s">
        <v>254</v>
      </c>
      <c r="HW90" s="3" t="s">
        <v>366</v>
      </c>
      <c r="IR90" s="57">
        <f t="shared" si="16"/>
        <v>0</v>
      </c>
      <c r="IS90" s="57">
        <f t="shared" si="17"/>
        <v>0</v>
      </c>
    </row>
    <row r="91" spans="1:253" ht="14.4" x14ac:dyDescent="0.3">
      <c r="A91" s="55">
        <v>66</v>
      </c>
      <c r="B91" s="3" t="s">
        <v>300</v>
      </c>
      <c r="C91" s="5" t="s">
        <v>301</v>
      </c>
      <c r="D91" s="3" t="s">
        <v>119</v>
      </c>
      <c r="E91" s="33">
        <f>'Stavební rozpočet'!G92</f>
        <v>1.3741000000000001</v>
      </c>
      <c r="F91" s="33">
        <f>'Stavební rozpočet'!H92</f>
        <v>0</v>
      </c>
      <c r="G91" s="33">
        <f t="shared" si="12"/>
        <v>0</v>
      </c>
      <c r="H91" s="33">
        <f t="shared" si="13"/>
        <v>0</v>
      </c>
      <c r="I91" s="33">
        <f t="shared" si="14"/>
        <v>0</v>
      </c>
      <c r="J91" s="33">
        <f>'Stavební rozpočet'!N92</f>
        <v>1</v>
      </c>
      <c r="K91" s="56">
        <f t="shared" si="15"/>
        <v>1.3741000000000001</v>
      </c>
      <c r="HV91" s="3" t="s">
        <v>254</v>
      </c>
      <c r="HW91" s="3" t="s">
        <v>366</v>
      </c>
      <c r="IR91" s="57">
        <f t="shared" si="16"/>
        <v>0</v>
      </c>
      <c r="IS91" s="57">
        <f t="shared" si="17"/>
        <v>0</v>
      </c>
    </row>
    <row r="92" spans="1:253" ht="14.4" x14ac:dyDescent="0.3">
      <c r="A92" s="55">
        <v>67</v>
      </c>
      <c r="B92" s="3" t="s">
        <v>300</v>
      </c>
      <c r="C92" s="5" t="s">
        <v>301</v>
      </c>
      <c r="D92" s="3" t="s">
        <v>119</v>
      </c>
      <c r="E92" s="33">
        <f>'Stavební rozpočet'!G93</f>
        <v>0.21740000000000001</v>
      </c>
      <c r="F92" s="33">
        <f>'Stavební rozpočet'!H93</f>
        <v>0</v>
      </c>
      <c r="G92" s="33">
        <f t="shared" si="12"/>
        <v>0</v>
      </c>
      <c r="H92" s="33">
        <f t="shared" si="13"/>
        <v>0</v>
      </c>
      <c r="I92" s="33">
        <f t="shared" si="14"/>
        <v>0</v>
      </c>
      <c r="J92" s="33">
        <f>'Stavební rozpočet'!N93</f>
        <v>1</v>
      </c>
      <c r="K92" s="56">
        <f t="shared" si="15"/>
        <v>0.21740000000000001</v>
      </c>
      <c r="HV92" s="3" t="s">
        <v>254</v>
      </c>
      <c r="HW92" s="3" t="s">
        <v>366</v>
      </c>
      <c r="IR92" s="57">
        <f t="shared" si="16"/>
        <v>0</v>
      </c>
      <c r="IS92" s="57">
        <f t="shared" si="17"/>
        <v>0</v>
      </c>
    </row>
    <row r="93" spans="1:253" ht="14.4" x14ac:dyDescent="0.3">
      <c r="A93" s="55">
        <v>68</v>
      </c>
      <c r="B93" s="3" t="s">
        <v>304</v>
      </c>
      <c r="C93" s="5" t="s">
        <v>305</v>
      </c>
      <c r="D93" s="3" t="s">
        <v>119</v>
      </c>
      <c r="E93" s="33">
        <f>'Stavební rozpočet'!G94</f>
        <v>1.8442000000000001</v>
      </c>
      <c r="F93" s="33">
        <f>'Stavební rozpočet'!H94</f>
        <v>0</v>
      </c>
      <c r="G93" s="33">
        <f t="shared" si="12"/>
        <v>0</v>
      </c>
      <c r="H93" s="33">
        <f t="shared" si="13"/>
        <v>0</v>
      </c>
      <c r="I93" s="33">
        <f t="shared" si="14"/>
        <v>0</v>
      </c>
      <c r="J93" s="33">
        <f>'Stavební rozpočet'!N94</f>
        <v>1</v>
      </c>
      <c r="K93" s="56">
        <f t="shared" si="15"/>
        <v>1.8442000000000001</v>
      </c>
      <c r="HV93" s="3" t="s">
        <v>254</v>
      </c>
      <c r="HW93" s="3" t="s">
        <v>366</v>
      </c>
      <c r="IR93" s="57">
        <f t="shared" si="16"/>
        <v>0</v>
      </c>
      <c r="IS93" s="57">
        <f t="shared" si="17"/>
        <v>0</v>
      </c>
    </row>
    <row r="94" spans="1:253" ht="14.4" x14ac:dyDescent="0.3">
      <c r="A94" s="55">
        <v>69</v>
      </c>
      <c r="B94" s="3" t="s">
        <v>307</v>
      </c>
      <c r="C94" s="5" t="s">
        <v>308</v>
      </c>
      <c r="D94" s="3" t="s">
        <v>119</v>
      </c>
      <c r="E94" s="33">
        <f>'Stavební rozpočet'!G95</f>
        <v>2.7158000000000002</v>
      </c>
      <c r="F94" s="33">
        <f>'Stavební rozpočet'!H95</f>
        <v>0</v>
      </c>
      <c r="G94" s="33">
        <f t="shared" si="12"/>
        <v>0</v>
      </c>
      <c r="H94" s="33">
        <f t="shared" si="13"/>
        <v>0</v>
      </c>
      <c r="I94" s="33">
        <f t="shared" si="14"/>
        <v>0</v>
      </c>
      <c r="J94" s="33">
        <f>'Stavební rozpočet'!N95</f>
        <v>1</v>
      </c>
      <c r="K94" s="56">
        <f t="shared" si="15"/>
        <v>2.7158000000000002</v>
      </c>
      <c r="HV94" s="3" t="s">
        <v>254</v>
      </c>
      <c r="HW94" s="3" t="s">
        <v>366</v>
      </c>
      <c r="IR94" s="57">
        <f t="shared" si="16"/>
        <v>0</v>
      </c>
      <c r="IS94" s="57">
        <f t="shared" si="17"/>
        <v>0</v>
      </c>
    </row>
    <row r="95" spans="1:253" ht="14.4" x14ac:dyDescent="0.3">
      <c r="A95" s="55">
        <v>70</v>
      </c>
      <c r="B95" s="3" t="s">
        <v>310</v>
      </c>
      <c r="C95" s="5" t="s">
        <v>311</v>
      </c>
      <c r="D95" s="3" t="s">
        <v>119</v>
      </c>
      <c r="E95" s="33">
        <f>'Stavební rozpočet'!G96</f>
        <v>0.24010000000000001</v>
      </c>
      <c r="F95" s="33">
        <f>'Stavební rozpočet'!H96</f>
        <v>0</v>
      </c>
      <c r="G95" s="33">
        <f t="shared" si="12"/>
        <v>0</v>
      </c>
      <c r="H95" s="33">
        <f t="shared" si="13"/>
        <v>0</v>
      </c>
      <c r="I95" s="33">
        <f t="shared" si="14"/>
        <v>0</v>
      </c>
      <c r="J95" s="33">
        <f>'Stavební rozpočet'!N96</f>
        <v>1</v>
      </c>
      <c r="K95" s="56">
        <f t="shared" si="15"/>
        <v>0.24010000000000001</v>
      </c>
      <c r="HV95" s="3" t="s">
        <v>254</v>
      </c>
      <c r="HW95" s="3" t="s">
        <v>366</v>
      </c>
      <c r="IR95" s="57">
        <f t="shared" si="16"/>
        <v>0</v>
      </c>
      <c r="IS95" s="57">
        <f t="shared" si="17"/>
        <v>0</v>
      </c>
    </row>
    <row r="96" spans="1:253" ht="14.4" x14ac:dyDescent="0.3">
      <c r="A96" s="55">
        <v>71</v>
      </c>
      <c r="B96" s="3" t="s">
        <v>313</v>
      </c>
      <c r="C96" s="5" t="s">
        <v>314</v>
      </c>
      <c r="D96" s="3" t="s">
        <v>119</v>
      </c>
      <c r="E96" s="33">
        <f>'Stavební rozpočet'!G97</f>
        <v>0.91439999999999999</v>
      </c>
      <c r="F96" s="33">
        <f>'Stavební rozpočet'!H97</f>
        <v>0</v>
      </c>
      <c r="G96" s="33">
        <f t="shared" si="12"/>
        <v>0</v>
      </c>
      <c r="H96" s="33">
        <f t="shared" si="13"/>
        <v>0</v>
      </c>
      <c r="I96" s="33">
        <f t="shared" si="14"/>
        <v>0</v>
      </c>
      <c r="J96" s="33">
        <f>'Stavební rozpočet'!N97</f>
        <v>1</v>
      </c>
      <c r="K96" s="56">
        <f t="shared" si="15"/>
        <v>0.91439999999999999</v>
      </c>
      <c r="HV96" s="3" t="s">
        <v>254</v>
      </c>
      <c r="HW96" s="3" t="s">
        <v>366</v>
      </c>
      <c r="IR96" s="57">
        <f t="shared" si="16"/>
        <v>0</v>
      </c>
      <c r="IS96" s="57">
        <f t="shared" si="17"/>
        <v>0</v>
      </c>
    </row>
    <row r="97" spans="1:253" ht="14.4" x14ac:dyDescent="0.3">
      <c r="A97" s="55">
        <v>72</v>
      </c>
      <c r="B97" s="3" t="s">
        <v>310</v>
      </c>
      <c r="C97" s="5" t="s">
        <v>316</v>
      </c>
      <c r="D97" s="3" t="s">
        <v>119</v>
      </c>
      <c r="E97" s="33">
        <f>'Stavební rozpočet'!G98</f>
        <v>0.1862</v>
      </c>
      <c r="F97" s="33">
        <f>'Stavební rozpočet'!H98</f>
        <v>0</v>
      </c>
      <c r="G97" s="33">
        <f t="shared" si="12"/>
        <v>0</v>
      </c>
      <c r="H97" s="33">
        <f t="shared" si="13"/>
        <v>0</v>
      </c>
      <c r="I97" s="33">
        <f t="shared" si="14"/>
        <v>0</v>
      </c>
      <c r="J97" s="33">
        <f>'Stavební rozpočet'!N98</f>
        <v>1</v>
      </c>
      <c r="K97" s="56">
        <f t="shared" si="15"/>
        <v>0.1862</v>
      </c>
      <c r="HV97" s="3" t="s">
        <v>254</v>
      </c>
      <c r="HW97" s="3" t="s">
        <v>366</v>
      </c>
      <c r="IR97" s="57">
        <f t="shared" si="16"/>
        <v>0</v>
      </c>
      <c r="IS97" s="57">
        <f t="shared" si="17"/>
        <v>0</v>
      </c>
    </row>
    <row r="98" spans="1:253" ht="14.4" x14ac:dyDescent="0.3">
      <c r="A98" s="55">
        <v>73</v>
      </c>
      <c r="B98" s="3" t="s">
        <v>318</v>
      </c>
      <c r="C98" s="5" t="s">
        <v>319</v>
      </c>
      <c r="D98" s="3" t="s">
        <v>125</v>
      </c>
      <c r="E98" s="33">
        <f>'Stavební rozpočet'!G99</f>
        <v>219.06100000000001</v>
      </c>
      <c r="F98" s="33">
        <f>'Stavební rozpočet'!H99</f>
        <v>0</v>
      </c>
      <c r="G98" s="33">
        <f t="shared" si="12"/>
        <v>0</v>
      </c>
      <c r="H98" s="33">
        <f t="shared" si="13"/>
        <v>0</v>
      </c>
      <c r="I98" s="33">
        <f t="shared" si="14"/>
        <v>0</v>
      </c>
      <c r="J98" s="33">
        <f>'Stavební rozpočet'!N99</f>
        <v>5.6699999999999997E-3</v>
      </c>
      <c r="K98" s="56">
        <f t="shared" si="15"/>
        <v>1.2420758700000001</v>
      </c>
      <c r="HV98" s="3" t="s">
        <v>254</v>
      </c>
      <c r="HW98" s="3" t="s">
        <v>366</v>
      </c>
      <c r="IR98" s="57">
        <f t="shared" si="16"/>
        <v>0</v>
      </c>
      <c r="IS98" s="57">
        <f t="shared" si="17"/>
        <v>0</v>
      </c>
    </row>
    <row r="99" spans="1:253" ht="14.4" x14ac:dyDescent="0.3">
      <c r="A99" s="55">
        <v>74</v>
      </c>
      <c r="B99" s="3" t="s">
        <v>321</v>
      </c>
      <c r="C99" s="5" t="s">
        <v>322</v>
      </c>
      <c r="D99" s="3" t="s">
        <v>119</v>
      </c>
      <c r="E99" s="33">
        <f>'Stavební rozpočet'!G100</f>
        <v>2.12E-2</v>
      </c>
      <c r="F99" s="33">
        <f>'Stavební rozpočet'!H100</f>
        <v>0</v>
      </c>
      <c r="G99" s="33">
        <f t="shared" si="12"/>
        <v>0</v>
      </c>
      <c r="H99" s="33">
        <f t="shared" si="13"/>
        <v>0</v>
      </c>
      <c r="I99" s="33">
        <f t="shared" si="14"/>
        <v>0</v>
      </c>
      <c r="J99" s="33">
        <f>'Stavební rozpočet'!N100</f>
        <v>1</v>
      </c>
      <c r="K99" s="56">
        <f t="shared" si="15"/>
        <v>2.12E-2</v>
      </c>
      <c r="HV99" s="3" t="s">
        <v>254</v>
      </c>
      <c r="HW99" s="3" t="s">
        <v>366</v>
      </c>
      <c r="IR99" s="57">
        <f t="shared" si="16"/>
        <v>0</v>
      </c>
      <c r="IS99" s="57">
        <f t="shared" si="17"/>
        <v>0</v>
      </c>
    </row>
    <row r="100" spans="1:253" ht="14.4" x14ac:dyDescent="0.3">
      <c r="A100" s="55">
        <v>75</v>
      </c>
      <c r="B100" s="3" t="s">
        <v>324</v>
      </c>
      <c r="C100" s="5" t="s">
        <v>325</v>
      </c>
      <c r="D100" s="3" t="s">
        <v>119</v>
      </c>
      <c r="E100" s="33">
        <f>'Stavební rozpočet'!G101</f>
        <v>6.3600000000000004E-2</v>
      </c>
      <c r="F100" s="33">
        <f>'Stavební rozpočet'!H101</f>
        <v>0</v>
      </c>
      <c r="G100" s="33">
        <f t="shared" si="12"/>
        <v>0</v>
      </c>
      <c r="H100" s="33">
        <f t="shared" si="13"/>
        <v>0</v>
      </c>
      <c r="I100" s="33">
        <f t="shared" si="14"/>
        <v>0</v>
      </c>
      <c r="J100" s="33">
        <f>'Stavební rozpočet'!N101</f>
        <v>1</v>
      </c>
      <c r="K100" s="56">
        <f t="shared" si="15"/>
        <v>6.3600000000000004E-2</v>
      </c>
      <c r="HV100" s="3" t="s">
        <v>254</v>
      </c>
      <c r="HW100" s="3" t="s">
        <v>366</v>
      </c>
      <c r="IR100" s="57">
        <f t="shared" si="16"/>
        <v>0</v>
      </c>
      <c r="IS100" s="57">
        <f t="shared" si="17"/>
        <v>0</v>
      </c>
    </row>
    <row r="101" spans="1:253" ht="14.4" x14ac:dyDescent="0.3">
      <c r="A101" s="55">
        <v>76</v>
      </c>
      <c r="B101" s="3" t="s">
        <v>327</v>
      </c>
      <c r="C101" s="5" t="s">
        <v>328</v>
      </c>
      <c r="D101" s="3" t="s">
        <v>119</v>
      </c>
      <c r="E101" s="33">
        <f>'Stavební rozpočet'!G102</f>
        <v>0.60980000000000001</v>
      </c>
      <c r="F101" s="33">
        <f>'Stavební rozpočet'!H102</f>
        <v>0</v>
      </c>
      <c r="G101" s="33">
        <f t="shared" si="12"/>
        <v>0</v>
      </c>
      <c r="H101" s="33">
        <f t="shared" si="13"/>
        <v>0</v>
      </c>
      <c r="I101" s="33">
        <f t="shared" si="14"/>
        <v>0</v>
      </c>
      <c r="J101" s="33">
        <f>'Stavební rozpočet'!N102</f>
        <v>1</v>
      </c>
      <c r="K101" s="56">
        <f t="shared" si="15"/>
        <v>0.60980000000000001</v>
      </c>
      <c r="HV101" s="3" t="s">
        <v>254</v>
      </c>
      <c r="HW101" s="3" t="s">
        <v>366</v>
      </c>
      <c r="IR101" s="57">
        <f t="shared" si="16"/>
        <v>0</v>
      </c>
      <c r="IS101" s="57">
        <f t="shared" si="17"/>
        <v>0</v>
      </c>
    </row>
    <row r="102" spans="1:253" ht="14.4" x14ac:dyDescent="0.3">
      <c r="A102" s="55">
        <v>77</v>
      </c>
      <c r="B102" s="3" t="s">
        <v>330</v>
      </c>
      <c r="C102" s="5" t="s">
        <v>331</v>
      </c>
      <c r="D102" s="3" t="s">
        <v>119</v>
      </c>
      <c r="E102" s="33">
        <f>'Stavební rozpočet'!G103</f>
        <v>3.8437999999999999</v>
      </c>
      <c r="F102" s="33">
        <f>'Stavební rozpočet'!H103</f>
        <v>0</v>
      </c>
      <c r="G102" s="33">
        <f t="shared" si="12"/>
        <v>0</v>
      </c>
      <c r="H102" s="33">
        <f t="shared" si="13"/>
        <v>0</v>
      </c>
      <c r="I102" s="33">
        <f t="shared" si="14"/>
        <v>0</v>
      </c>
      <c r="J102" s="33">
        <f>'Stavební rozpočet'!N103</f>
        <v>1</v>
      </c>
      <c r="K102" s="56">
        <f t="shared" si="15"/>
        <v>3.8437999999999999</v>
      </c>
      <c r="HV102" s="3" t="s">
        <v>254</v>
      </c>
      <c r="HW102" s="3" t="s">
        <v>366</v>
      </c>
      <c r="IR102" s="57">
        <f t="shared" si="16"/>
        <v>0</v>
      </c>
      <c r="IS102" s="57">
        <f t="shared" si="17"/>
        <v>0</v>
      </c>
    </row>
    <row r="103" spans="1:253" ht="14.4" x14ac:dyDescent="0.3">
      <c r="A103" s="55">
        <v>78</v>
      </c>
      <c r="B103" s="3" t="s">
        <v>333</v>
      </c>
      <c r="C103" s="5" t="s">
        <v>334</v>
      </c>
      <c r="D103" s="3" t="s">
        <v>119</v>
      </c>
      <c r="E103" s="33">
        <f>'Stavební rozpočet'!G104</f>
        <v>0.64380000000000004</v>
      </c>
      <c r="F103" s="33">
        <f>'Stavební rozpočet'!H104</f>
        <v>0</v>
      </c>
      <c r="G103" s="33">
        <f t="shared" si="12"/>
        <v>0</v>
      </c>
      <c r="H103" s="33">
        <f t="shared" si="13"/>
        <v>0</v>
      </c>
      <c r="I103" s="33">
        <f t="shared" si="14"/>
        <v>0</v>
      </c>
      <c r="J103" s="33">
        <f>'Stavební rozpočet'!N104</f>
        <v>1</v>
      </c>
      <c r="K103" s="56">
        <f t="shared" si="15"/>
        <v>0.64380000000000004</v>
      </c>
      <c r="HV103" s="3" t="s">
        <v>254</v>
      </c>
      <c r="HW103" s="3" t="s">
        <v>366</v>
      </c>
      <c r="IR103" s="57">
        <f t="shared" si="16"/>
        <v>0</v>
      </c>
      <c r="IS103" s="57">
        <f t="shared" si="17"/>
        <v>0</v>
      </c>
    </row>
    <row r="104" spans="1:253" ht="14.4" x14ac:dyDescent="0.3">
      <c r="A104" s="55">
        <v>79</v>
      </c>
      <c r="B104" s="3" t="s">
        <v>336</v>
      </c>
      <c r="C104" s="5" t="s">
        <v>337</v>
      </c>
      <c r="D104" s="3" t="s">
        <v>119</v>
      </c>
      <c r="E104" s="33">
        <f>'Stavební rozpočet'!G105</f>
        <v>1.3986000000000001</v>
      </c>
      <c r="F104" s="33">
        <f>'Stavební rozpočet'!H105</f>
        <v>0</v>
      </c>
      <c r="G104" s="33">
        <f t="shared" si="12"/>
        <v>0</v>
      </c>
      <c r="H104" s="33">
        <f t="shared" si="13"/>
        <v>0</v>
      </c>
      <c r="I104" s="33">
        <f t="shared" si="14"/>
        <v>0</v>
      </c>
      <c r="J104" s="33">
        <f>'Stavební rozpočet'!N105</f>
        <v>1</v>
      </c>
      <c r="K104" s="56">
        <f t="shared" si="15"/>
        <v>1.3986000000000001</v>
      </c>
      <c r="HV104" s="3" t="s">
        <v>254</v>
      </c>
      <c r="HW104" s="3" t="s">
        <v>366</v>
      </c>
      <c r="IR104" s="57">
        <f t="shared" si="16"/>
        <v>0</v>
      </c>
      <c r="IS104" s="57">
        <f t="shared" si="17"/>
        <v>0</v>
      </c>
    </row>
    <row r="105" spans="1:253" ht="14.4" x14ac:dyDescent="0.3">
      <c r="A105" s="55">
        <v>80</v>
      </c>
      <c r="B105" s="3" t="s">
        <v>339</v>
      </c>
      <c r="C105" s="5" t="s">
        <v>340</v>
      </c>
      <c r="D105" s="3" t="s">
        <v>119</v>
      </c>
      <c r="E105" s="33">
        <f>'Stavební rozpočet'!G106</f>
        <v>137.78399999999999</v>
      </c>
      <c r="F105" s="33">
        <f>'Stavební rozpočet'!H106</f>
        <v>0</v>
      </c>
      <c r="G105" s="33">
        <f t="shared" si="12"/>
        <v>0</v>
      </c>
      <c r="H105" s="33">
        <f t="shared" si="13"/>
        <v>0</v>
      </c>
      <c r="I105" s="33">
        <f t="shared" si="14"/>
        <v>0</v>
      </c>
      <c r="J105" s="33">
        <f>'Stavební rozpočet'!N106</f>
        <v>0</v>
      </c>
      <c r="K105" s="56">
        <f t="shared" si="15"/>
        <v>0</v>
      </c>
      <c r="HV105" s="3" t="s">
        <v>254</v>
      </c>
      <c r="HW105" s="3" t="s">
        <v>365</v>
      </c>
      <c r="IR105" s="57">
        <f>F105*0</f>
        <v>0</v>
      </c>
      <c r="IS105" s="57">
        <f>F105*(1-0)</f>
        <v>0</v>
      </c>
    </row>
    <row r="106" spans="1:253" ht="14.4" x14ac:dyDescent="0.3">
      <c r="A106" s="55">
        <v>81</v>
      </c>
      <c r="B106" s="3" t="s">
        <v>342</v>
      </c>
      <c r="C106" s="5" t="s">
        <v>343</v>
      </c>
      <c r="D106" s="3" t="s">
        <v>119</v>
      </c>
      <c r="E106" s="33">
        <f>'Stavební rozpočet'!G107</f>
        <v>45.927999999999997</v>
      </c>
      <c r="F106" s="33">
        <f>'Stavební rozpočet'!H107</f>
        <v>0</v>
      </c>
      <c r="G106" s="33">
        <f t="shared" si="12"/>
        <v>0</v>
      </c>
      <c r="H106" s="33">
        <f t="shared" si="13"/>
        <v>0</v>
      </c>
      <c r="I106" s="33">
        <f t="shared" si="14"/>
        <v>0</v>
      </c>
      <c r="J106" s="33">
        <f>'Stavební rozpočet'!N107</f>
        <v>0</v>
      </c>
      <c r="K106" s="56">
        <f t="shared" si="15"/>
        <v>0</v>
      </c>
      <c r="HV106" s="3" t="s">
        <v>254</v>
      </c>
      <c r="HW106" s="3" t="s">
        <v>365</v>
      </c>
      <c r="IR106" s="57">
        <f>F106*0</f>
        <v>0</v>
      </c>
      <c r="IS106" s="57">
        <f>F106*(1-0)</f>
        <v>0</v>
      </c>
    </row>
    <row r="107" spans="1:253" ht="14.4" x14ac:dyDescent="0.3">
      <c r="A107" s="55">
        <v>82</v>
      </c>
      <c r="B107" s="3" t="s">
        <v>345</v>
      </c>
      <c r="C107" s="5" t="s">
        <v>346</v>
      </c>
      <c r="D107" s="3" t="s">
        <v>119</v>
      </c>
      <c r="E107" s="33">
        <f>'Stavební rozpočet'!G108</f>
        <v>1837.12</v>
      </c>
      <c r="F107" s="33">
        <f>'Stavební rozpočet'!H108</f>
        <v>0</v>
      </c>
      <c r="G107" s="33">
        <f t="shared" si="12"/>
        <v>0</v>
      </c>
      <c r="H107" s="33">
        <f t="shared" si="13"/>
        <v>0</v>
      </c>
      <c r="I107" s="33">
        <f t="shared" si="14"/>
        <v>0</v>
      </c>
      <c r="J107" s="33">
        <f>'Stavební rozpočet'!N108</f>
        <v>0</v>
      </c>
      <c r="K107" s="56">
        <f t="shared" si="15"/>
        <v>0</v>
      </c>
      <c r="HV107" s="3" t="s">
        <v>254</v>
      </c>
      <c r="HW107" s="3" t="s">
        <v>365</v>
      </c>
      <c r="IR107" s="57">
        <f>F107*0</f>
        <v>0</v>
      </c>
      <c r="IS107" s="57">
        <f>F107*(1-0)</f>
        <v>0</v>
      </c>
    </row>
    <row r="108" spans="1:253" ht="14.4" x14ac:dyDescent="0.3">
      <c r="A108" s="55">
        <v>83</v>
      </c>
      <c r="B108" s="3" t="s">
        <v>190</v>
      </c>
      <c r="C108" s="5" t="s">
        <v>191</v>
      </c>
      <c r="D108" s="3" t="s">
        <v>119</v>
      </c>
      <c r="E108" s="33">
        <f>'Stavební rozpočet'!G109</f>
        <v>45.927999999999997</v>
      </c>
      <c r="F108" s="33">
        <f>'Stavební rozpočet'!H109</f>
        <v>0</v>
      </c>
      <c r="G108" s="33">
        <f t="shared" si="12"/>
        <v>0</v>
      </c>
      <c r="H108" s="33">
        <f t="shared" si="13"/>
        <v>0</v>
      </c>
      <c r="I108" s="33">
        <f t="shared" si="14"/>
        <v>0</v>
      </c>
      <c r="J108" s="33">
        <f>'Stavební rozpočet'!N109</f>
        <v>0</v>
      </c>
      <c r="K108" s="56">
        <f t="shared" si="15"/>
        <v>0</v>
      </c>
      <c r="HV108" s="3" t="s">
        <v>254</v>
      </c>
      <c r="HW108" s="3" t="s">
        <v>365</v>
      </c>
      <c r="IR108" s="57">
        <f>F108*0</f>
        <v>0</v>
      </c>
      <c r="IS108" s="57">
        <f>F108*(1-0)</f>
        <v>0</v>
      </c>
    </row>
    <row r="109" spans="1:253" ht="14.4" x14ac:dyDescent="0.3">
      <c r="A109" s="58" t="s">
        <v>4</v>
      </c>
      <c r="B109" s="37" t="s">
        <v>348</v>
      </c>
      <c r="C109" s="38" t="s">
        <v>349</v>
      </c>
      <c r="D109" s="37" t="s">
        <v>4</v>
      </c>
      <c r="E109" s="13" t="s">
        <v>4</v>
      </c>
      <c r="F109" s="13" t="s">
        <v>4</v>
      </c>
      <c r="G109" s="1">
        <f>SUM(G110:G111)</f>
        <v>0</v>
      </c>
      <c r="H109" s="1">
        <f>SUM(H110:H111)</f>
        <v>0</v>
      </c>
      <c r="I109" s="1">
        <f>SUM(I110:I111)</f>
        <v>0</v>
      </c>
      <c r="J109" s="13" t="s">
        <v>4</v>
      </c>
      <c r="K109" s="59">
        <f>SUM(K110:K111)</f>
        <v>4.4128999999999996</v>
      </c>
    </row>
    <row r="110" spans="1:253" ht="14.4" x14ac:dyDescent="0.3">
      <c r="A110" s="55">
        <v>84</v>
      </c>
      <c r="B110" s="3" t="s">
        <v>351</v>
      </c>
      <c r="C110" s="5" t="s">
        <v>352</v>
      </c>
      <c r="D110" s="3" t="s">
        <v>80</v>
      </c>
      <c r="E110" s="33">
        <f>'Stavební rozpočet'!G111</f>
        <v>30</v>
      </c>
      <c r="F110" s="33">
        <f>'Stavební rozpočet'!H111</f>
        <v>0</v>
      </c>
      <c r="G110" s="33">
        <f>IR110*E110</f>
        <v>0</v>
      </c>
      <c r="H110" s="33">
        <f>IS110*E110</f>
        <v>0</v>
      </c>
      <c r="I110" s="33">
        <f>IR110*E110+IS110*E110</f>
        <v>0</v>
      </c>
      <c r="J110" s="33">
        <f>'Stavební rozpočet'!N111</f>
        <v>0</v>
      </c>
      <c r="K110" s="56">
        <f>J110*E110</f>
        <v>0</v>
      </c>
      <c r="HV110" s="3" t="s">
        <v>348</v>
      </c>
      <c r="HW110" s="3" t="s">
        <v>365</v>
      </c>
      <c r="IR110" s="57">
        <f>F110*0</f>
        <v>0</v>
      </c>
      <c r="IS110" s="57">
        <f>F110*(1-0)</f>
        <v>0</v>
      </c>
    </row>
    <row r="111" spans="1:253" ht="14.4" x14ac:dyDescent="0.3">
      <c r="A111" s="60">
        <v>85</v>
      </c>
      <c r="B111" s="42" t="s">
        <v>355</v>
      </c>
      <c r="C111" s="43" t="s">
        <v>356</v>
      </c>
      <c r="D111" s="42" t="s">
        <v>119</v>
      </c>
      <c r="E111" s="44">
        <f>'Stavební rozpočet'!G112</f>
        <v>4.4128999999999996</v>
      </c>
      <c r="F111" s="44">
        <f>'Stavební rozpočet'!H112</f>
        <v>0</v>
      </c>
      <c r="G111" s="44">
        <f>IR111*E111</f>
        <v>0</v>
      </c>
      <c r="H111" s="44">
        <f>IS111*E111</f>
        <v>0</v>
      </c>
      <c r="I111" s="44">
        <f>IR111*E111+IS111*E111</f>
        <v>0</v>
      </c>
      <c r="J111" s="44">
        <f>'Stavební rozpočet'!N112</f>
        <v>1</v>
      </c>
      <c r="K111" s="61">
        <f>J111*E111</f>
        <v>4.4128999999999996</v>
      </c>
      <c r="HV111" s="3" t="s">
        <v>348</v>
      </c>
      <c r="HW111" s="3" t="s">
        <v>366</v>
      </c>
      <c r="IR111" s="57">
        <f>F111*1</f>
        <v>0</v>
      </c>
      <c r="IS111" s="57">
        <f>F111*(1-1)</f>
        <v>0</v>
      </c>
    </row>
    <row r="113" spans="8:9" ht="14.4" x14ac:dyDescent="0.3">
      <c r="H113" s="4" t="s">
        <v>357</v>
      </c>
      <c r="I113" s="62" t="e">
        <f>ROUND(I11+I17+I19+I21+I23+I26+I28+I30+I33+I40+I42+I47+I55+I59+I61+#REF!+I66+I75+I109,0)</f>
        <v>#REF!</v>
      </c>
    </row>
  </sheetData>
  <mergeCells count="25">
    <mergeCell ref="H2:K3"/>
    <mergeCell ref="H4:K5"/>
    <mergeCell ref="H6:K7"/>
    <mergeCell ref="H8:K9"/>
    <mergeCell ref="F8:F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C2:C3"/>
    <mergeCell ref="C4:C5"/>
    <mergeCell ref="C6:C7"/>
    <mergeCell ref="C8:C9"/>
    <mergeCell ref="D2:E3"/>
    <mergeCell ref="D4:E5"/>
    <mergeCell ref="D6:E7"/>
    <mergeCell ref="D8:E9"/>
    <mergeCell ref="F2:F3"/>
    <mergeCell ref="F4:F5"/>
    <mergeCell ref="F6:F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9"/>
  <sheetViews>
    <sheetView workbookViewId="0">
      <pane ySplit="11" topLeftCell="A24" activePane="bottomLeft" state="frozen"/>
      <selection pane="bottomLeft" activeCell="A26" sqref="A26:XFD26"/>
    </sheetView>
  </sheetViews>
  <sheetFormatPr defaultColWidth="12.109375" defaultRowHeight="15" customHeight="1" x14ac:dyDescent="0.3"/>
  <cols>
    <col min="1" max="2" width="8.5546875" customWidth="1"/>
    <col min="3" max="3" width="71.44140625" customWidth="1"/>
    <col min="4" max="6" width="27.88671875" customWidth="1"/>
    <col min="7" max="7" width="37.109375" customWidth="1"/>
    <col min="8" max="9" width="0" hidden="1" customWidth="1"/>
  </cols>
  <sheetData>
    <row r="1" spans="1:9" ht="54.75" customHeight="1" x14ac:dyDescent="0.3">
      <c r="A1" s="97" t="s">
        <v>367</v>
      </c>
      <c r="B1" s="97"/>
      <c r="C1" s="97"/>
      <c r="D1" s="97"/>
      <c r="E1" s="97"/>
      <c r="F1" s="97"/>
      <c r="G1" s="97"/>
    </row>
    <row r="2" spans="1:9" ht="14.4" x14ac:dyDescent="0.3">
      <c r="A2" s="98" t="s">
        <v>1</v>
      </c>
      <c r="B2" s="99"/>
      <c r="C2" s="107" t="str">
        <f>'Stavební rozpočet'!D2</f>
        <v>SO-01 Výstavba rozhledny na Jitrovníku  Šluknov</v>
      </c>
      <c r="D2" s="99" t="s">
        <v>3</v>
      </c>
      <c r="E2" s="99" t="s">
        <v>4</v>
      </c>
      <c r="F2" s="105" t="s">
        <v>5</v>
      </c>
      <c r="G2" s="132" t="str">
        <f>'Stavební rozpočet'!K2</f>
        <v>Město Šluknov nám. Míru 1, 407 47 Šluknov</v>
      </c>
    </row>
    <row r="3" spans="1:9" ht="15" customHeight="1" x14ac:dyDescent="0.3">
      <c r="A3" s="100"/>
      <c r="B3" s="101"/>
      <c r="C3" s="109"/>
      <c r="D3" s="101"/>
      <c r="E3" s="101"/>
      <c r="F3" s="101"/>
      <c r="G3" s="121"/>
    </row>
    <row r="4" spans="1:9" ht="14.4" x14ac:dyDescent="0.3">
      <c r="A4" s="102" t="s">
        <v>7</v>
      </c>
      <c r="B4" s="101"/>
      <c r="C4" s="106" t="str">
        <f>'Stavební rozpočet'!D4</f>
        <v>Rozhledna</v>
      </c>
      <c r="D4" s="101" t="s">
        <v>9</v>
      </c>
      <c r="E4" s="101" t="s">
        <v>4</v>
      </c>
      <c r="F4" s="106" t="s">
        <v>10</v>
      </c>
      <c r="G4" s="133" t="str">
        <f>'Stavební rozpočet'!K4</f>
        <v>Ing. arch . Tomáš Beneš ve Strouhách 969/13 Praha</v>
      </c>
    </row>
    <row r="5" spans="1:9" ht="15" customHeight="1" x14ac:dyDescent="0.3">
      <c r="A5" s="100"/>
      <c r="B5" s="101"/>
      <c r="C5" s="101"/>
      <c r="D5" s="101"/>
      <c r="E5" s="101"/>
      <c r="F5" s="101"/>
      <c r="G5" s="121"/>
    </row>
    <row r="6" spans="1:9" ht="14.4" x14ac:dyDescent="0.3">
      <c r="A6" s="102" t="s">
        <v>12</v>
      </c>
      <c r="B6" s="101"/>
      <c r="C6" s="106" t="str">
        <f>'Stavební rozpočet'!D6</f>
        <v>Jitrovník</v>
      </c>
      <c r="D6" s="101" t="s">
        <v>14</v>
      </c>
      <c r="E6" s="101" t="s">
        <v>4</v>
      </c>
      <c r="F6" s="106" t="s">
        <v>15</v>
      </c>
      <c r="G6" s="133" t="str">
        <f>'Stavební rozpočet'!K6</f>
        <v>Bude vybrán investorem</v>
      </c>
    </row>
    <row r="7" spans="1:9" ht="15" customHeight="1" x14ac:dyDescent="0.3">
      <c r="A7" s="100"/>
      <c r="B7" s="101"/>
      <c r="C7" s="101"/>
      <c r="D7" s="101"/>
      <c r="E7" s="101"/>
      <c r="F7" s="101"/>
      <c r="G7" s="121"/>
    </row>
    <row r="8" spans="1:9" ht="14.4" x14ac:dyDescent="0.3">
      <c r="A8" s="102" t="s">
        <v>20</v>
      </c>
      <c r="B8" s="101"/>
      <c r="C8" s="106" t="str">
        <f>'Stavební rozpočet'!K8</f>
        <v> </v>
      </c>
      <c r="D8" s="101" t="s">
        <v>18</v>
      </c>
      <c r="E8" s="101" t="s">
        <v>19</v>
      </c>
      <c r="F8" s="101" t="s">
        <v>18</v>
      </c>
      <c r="G8" s="133" t="str">
        <f>'Stavební rozpočet'!H8</f>
        <v>06.10.2023</v>
      </c>
    </row>
    <row r="9" spans="1:9" ht="14.4" x14ac:dyDescent="0.3">
      <c r="A9" s="103"/>
      <c r="B9" s="104"/>
      <c r="C9" s="104"/>
      <c r="D9" s="104"/>
      <c r="E9" s="104"/>
      <c r="F9" s="104"/>
      <c r="G9" s="122"/>
    </row>
    <row r="10" spans="1:9" ht="14.4" x14ac:dyDescent="0.3">
      <c r="A10" s="63" t="s">
        <v>23</v>
      </c>
      <c r="B10" s="64" t="s">
        <v>24</v>
      </c>
      <c r="C10" s="65" t="s">
        <v>25</v>
      </c>
      <c r="D10" s="66" t="s">
        <v>368</v>
      </c>
      <c r="E10" s="66" t="s">
        <v>369</v>
      </c>
      <c r="F10" s="66" t="s">
        <v>370</v>
      </c>
      <c r="G10" s="67" t="s">
        <v>371</v>
      </c>
    </row>
    <row r="11" spans="1:9" ht="14.4" x14ac:dyDescent="0.3">
      <c r="A11" s="68" t="s">
        <v>56</v>
      </c>
      <c r="B11" s="69" t="s">
        <v>57</v>
      </c>
      <c r="C11" s="69" t="s">
        <v>58</v>
      </c>
      <c r="D11" s="70">
        <f>'Stavební rozpočet'!J12</f>
        <v>0</v>
      </c>
      <c r="E11" s="70">
        <f>'Stavební rozpočet'!K12</f>
        <v>0</v>
      </c>
      <c r="F11" s="70">
        <f>'Stavební rozpočet'!L12</f>
        <v>0</v>
      </c>
      <c r="G11" s="71">
        <f>'Stavební rozpočet'!O12</f>
        <v>0</v>
      </c>
      <c r="H11" s="72" t="s">
        <v>372</v>
      </c>
      <c r="I11" s="33">
        <f t="shared" ref="I11:I28" si="0">IF(H11="F",0,F11)</f>
        <v>0</v>
      </c>
    </row>
    <row r="12" spans="1:9" ht="14.4" x14ac:dyDescent="0.3">
      <c r="A12" s="2" t="s">
        <v>56</v>
      </c>
      <c r="B12" s="3" t="s">
        <v>59</v>
      </c>
      <c r="C12" s="3" t="s">
        <v>76</v>
      </c>
      <c r="D12" s="33">
        <f>'Stavební rozpočet'!J18</f>
        <v>0</v>
      </c>
      <c r="E12" s="33">
        <f>'Stavební rozpočet'!K18</f>
        <v>0</v>
      </c>
      <c r="F12" s="33">
        <f>'Stavební rozpočet'!L18</f>
        <v>0</v>
      </c>
      <c r="G12" s="56">
        <f>'Stavební rozpočet'!O18</f>
        <v>0</v>
      </c>
      <c r="H12" s="72" t="s">
        <v>372</v>
      </c>
      <c r="I12" s="33">
        <f t="shared" si="0"/>
        <v>0</v>
      </c>
    </row>
    <row r="13" spans="1:9" ht="14.4" x14ac:dyDescent="0.3">
      <c r="A13" s="2" t="s">
        <v>56</v>
      </c>
      <c r="B13" s="3" t="s">
        <v>83</v>
      </c>
      <c r="C13" s="3" t="s">
        <v>84</v>
      </c>
      <c r="D13" s="33">
        <f>'Stavební rozpočet'!J20</f>
        <v>0</v>
      </c>
      <c r="E13" s="33">
        <f>'Stavební rozpočet'!K20</f>
        <v>0</v>
      </c>
      <c r="F13" s="33">
        <f>'Stavební rozpočet'!L20</f>
        <v>0</v>
      </c>
      <c r="G13" s="56">
        <f>'Stavební rozpočet'!O20</f>
        <v>0</v>
      </c>
      <c r="H13" s="72" t="s">
        <v>372</v>
      </c>
      <c r="I13" s="33">
        <f t="shared" si="0"/>
        <v>0</v>
      </c>
    </row>
    <row r="14" spans="1:9" ht="14.4" x14ac:dyDescent="0.3">
      <c r="A14" s="2" t="s">
        <v>56</v>
      </c>
      <c r="B14" s="3" t="s">
        <v>90</v>
      </c>
      <c r="C14" s="3" t="s">
        <v>91</v>
      </c>
      <c r="D14" s="33">
        <f>'Stavební rozpočet'!J22</f>
        <v>0</v>
      </c>
      <c r="E14" s="33">
        <f>'Stavební rozpočet'!K22</f>
        <v>0</v>
      </c>
      <c r="F14" s="33">
        <f>'Stavební rozpočet'!L22</f>
        <v>0</v>
      </c>
      <c r="G14" s="56">
        <f>'Stavební rozpočet'!O22</f>
        <v>0</v>
      </c>
      <c r="H14" s="72" t="s">
        <v>372</v>
      </c>
      <c r="I14" s="33">
        <f t="shared" si="0"/>
        <v>0</v>
      </c>
    </row>
    <row r="15" spans="1:9" ht="14.4" x14ac:dyDescent="0.3">
      <c r="A15" s="2" t="s">
        <v>56</v>
      </c>
      <c r="B15" s="3" t="s">
        <v>96</v>
      </c>
      <c r="C15" s="3" t="s">
        <v>97</v>
      </c>
      <c r="D15" s="33">
        <f>'Stavební rozpočet'!J24</f>
        <v>0</v>
      </c>
      <c r="E15" s="33">
        <f>'Stavební rozpočet'!K24</f>
        <v>0</v>
      </c>
      <c r="F15" s="33">
        <f>'Stavební rozpočet'!L24</f>
        <v>0</v>
      </c>
      <c r="G15" s="56">
        <f>'Stavební rozpočet'!O24</f>
        <v>0</v>
      </c>
      <c r="H15" s="72" t="s">
        <v>372</v>
      </c>
      <c r="I15" s="33">
        <f t="shared" si="0"/>
        <v>0</v>
      </c>
    </row>
    <row r="16" spans="1:9" ht="14.4" x14ac:dyDescent="0.3">
      <c r="A16" s="2" t="s">
        <v>56</v>
      </c>
      <c r="B16" s="3" t="s">
        <v>105</v>
      </c>
      <c r="C16" s="3" t="s">
        <v>106</v>
      </c>
      <c r="D16" s="33">
        <f>'Stavební rozpočet'!J27</f>
        <v>0</v>
      </c>
      <c r="E16" s="33">
        <f>'Stavební rozpočet'!K27</f>
        <v>0</v>
      </c>
      <c r="F16" s="33">
        <f>'Stavební rozpočet'!L27</f>
        <v>0</v>
      </c>
      <c r="G16" s="56">
        <f>'Stavební rozpočet'!O27</f>
        <v>0</v>
      </c>
      <c r="H16" s="72" t="s">
        <v>372</v>
      </c>
      <c r="I16" s="33">
        <f t="shared" si="0"/>
        <v>0</v>
      </c>
    </row>
    <row r="17" spans="1:9" ht="14.4" x14ac:dyDescent="0.3">
      <c r="A17" s="2" t="s">
        <v>56</v>
      </c>
      <c r="B17" s="3" t="s">
        <v>110</v>
      </c>
      <c r="C17" s="3" t="s">
        <v>111</v>
      </c>
      <c r="D17" s="33">
        <f>'Stavební rozpočet'!J29</f>
        <v>0</v>
      </c>
      <c r="E17" s="33">
        <f>'Stavební rozpočet'!K29</f>
        <v>0</v>
      </c>
      <c r="F17" s="33">
        <f>'Stavební rozpočet'!L29</f>
        <v>0</v>
      </c>
      <c r="G17" s="56">
        <f>'Stavební rozpočet'!O29</f>
        <v>0</v>
      </c>
      <c r="H17" s="72" t="s">
        <v>372</v>
      </c>
      <c r="I17" s="33">
        <f t="shared" si="0"/>
        <v>0</v>
      </c>
    </row>
    <row r="18" spans="1:9" ht="14.4" x14ac:dyDescent="0.3">
      <c r="A18" s="2" t="s">
        <v>56</v>
      </c>
      <c r="B18" s="3" t="s">
        <v>115</v>
      </c>
      <c r="C18" s="3" t="s">
        <v>116</v>
      </c>
      <c r="D18" s="33">
        <f>'Stavební rozpočet'!J31</f>
        <v>0</v>
      </c>
      <c r="E18" s="33">
        <f>'Stavební rozpočet'!K31</f>
        <v>0</v>
      </c>
      <c r="F18" s="33">
        <f>'Stavební rozpočet'!L31</f>
        <v>0</v>
      </c>
      <c r="G18" s="56">
        <f>'Stavební rozpočet'!O31</f>
        <v>3.6596174229999994</v>
      </c>
      <c r="H18" s="72" t="s">
        <v>372</v>
      </c>
      <c r="I18" s="33">
        <f t="shared" si="0"/>
        <v>0</v>
      </c>
    </row>
    <row r="19" spans="1:9" ht="14.4" x14ac:dyDescent="0.3">
      <c r="A19" s="2" t="s">
        <v>56</v>
      </c>
      <c r="B19" s="3" t="s">
        <v>126</v>
      </c>
      <c r="C19" s="3" t="s">
        <v>127</v>
      </c>
      <c r="D19" s="33">
        <f>'Stavební rozpočet'!J34</f>
        <v>0</v>
      </c>
      <c r="E19" s="33">
        <f>'Stavební rozpočet'!K34</f>
        <v>0</v>
      </c>
      <c r="F19" s="33">
        <f>'Stavební rozpočet'!L34</f>
        <v>0</v>
      </c>
      <c r="G19" s="56">
        <f>'Stavební rozpočet'!O34</f>
        <v>69.214243930999999</v>
      </c>
      <c r="H19" s="72" t="s">
        <v>372</v>
      </c>
      <c r="I19" s="33">
        <f t="shared" si="0"/>
        <v>0</v>
      </c>
    </row>
    <row r="20" spans="1:9" ht="14.4" x14ac:dyDescent="0.3">
      <c r="A20" s="2" t="s">
        <v>56</v>
      </c>
      <c r="B20" s="3" t="s">
        <v>146</v>
      </c>
      <c r="C20" s="3" t="s">
        <v>147</v>
      </c>
      <c r="D20" s="33">
        <f>'Stavební rozpočet'!J41</f>
        <v>0</v>
      </c>
      <c r="E20" s="33">
        <f>'Stavební rozpočet'!K41</f>
        <v>0</v>
      </c>
      <c r="F20" s="33">
        <f>'Stavební rozpočet'!L41</f>
        <v>0</v>
      </c>
      <c r="G20" s="56">
        <f>'Stavební rozpočet'!O41</f>
        <v>11.34</v>
      </c>
      <c r="H20" s="72" t="s">
        <v>372</v>
      </c>
      <c r="I20" s="33">
        <f t="shared" si="0"/>
        <v>0</v>
      </c>
    </row>
    <row r="21" spans="1:9" ht="14.4" x14ac:dyDescent="0.3">
      <c r="A21" s="2" t="s">
        <v>56</v>
      </c>
      <c r="B21" s="3" t="s">
        <v>152</v>
      </c>
      <c r="C21" s="3" t="s">
        <v>153</v>
      </c>
      <c r="D21" s="33">
        <f>'Stavební rozpočet'!J43</f>
        <v>0</v>
      </c>
      <c r="E21" s="33">
        <f>'Stavební rozpočet'!K43</f>
        <v>0</v>
      </c>
      <c r="F21" s="33">
        <f>'Stavební rozpočet'!L43</f>
        <v>0</v>
      </c>
      <c r="G21" s="56">
        <f>'Stavební rozpočet'!O43</f>
        <v>7.2195420859999997</v>
      </c>
      <c r="H21" s="72" t="s">
        <v>372</v>
      </c>
      <c r="I21" s="33">
        <f t="shared" si="0"/>
        <v>0</v>
      </c>
    </row>
    <row r="22" spans="1:9" ht="14.4" x14ac:dyDescent="0.3">
      <c r="A22" s="2" t="s">
        <v>56</v>
      </c>
      <c r="B22" s="3" t="s">
        <v>168</v>
      </c>
      <c r="C22" s="3" t="s">
        <v>169</v>
      </c>
      <c r="D22" s="33">
        <f>'Stavební rozpočet'!J48</f>
        <v>0</v>
      </c>
      <c r="E22" s="33">
        <f>'Stavební rozpočet'!K48</f>
        <v>0</v>
      </c>
      <c r="F22" s="33">
        <f>'Stavební rozpočet'!L48</f>
        <v>0</v>
      </c>
      <c r="G22" s="56">
        <f>'Stavební rozpočet'!O48</f>
        <v>8.0181525449999995</v>
      </c>
      <c r="H22" s="72" t="s">
        <v>372</v>
      </c>
      <c r="I22" s="33">
        <f t="shared" si="0"/>
        <v>0</v>
      </c>
    </row>
    <row r="23" spans="1:9" ht="14.4" x14ac:dyDescent="0.3">
      <c r="A23" s="2" t="s">
        <v>56</v>
      </c>
      <c r="B23" s="3" t="s">
        <v>192</v>
      </c>
      <c r="C23" s="3" t="s">
        <v>193</v>
      </c>
      <c r="D23" s="33">
        <f>'Stavební rozpočet'!J56</f>
        <v>0</v>
      </c>
      <c r="E23" s="33">
        <f>'Stavební rozpočet'!K56</f>
        <v>0</v>
      </c>
      <c r="F23" s="33">
        <f>'Stavební rozpočet'!L56</f>
        <v>0</v>
      </c>
      <c r="G23" s="56">
        <f>'Stavební rozpočet'!O56</f>
        <v>0</v>
      </c>
      <c r="H23" s="72" t="s">
        <v>372</v>
      </c>
      <c r="I23" s="33">
        <f t="shared" si="0"/>
        <v>0</v>
      </c>
    </row>
    <row r="24" spans="1:9" ht="14.4" x14ac:dyDescent="0.3">
      <c r="A24" s="2" t="s">
        <v>56</v>
      </c>
      <c r="B24" s="3" t="s">
        <v>205</v>
      </c>
      <c r="C24" s="3" t="s">
        <v>206</v>
      </c>
      <c r="D24" s="33">
        <f>'Stavební rozpočet'!J60</f>
        <v>0</v>
      </c>
      <c r="E24" s="33">
        <f>'Stavební rozpočet'!K60</f>
        <v>0</v>
      </c>
      <c r="F24" s="33">
        <f>'Stavební rozpočet'!L60</f>
        <v>0</v>
      </c>
      <c r="G24" s="56">
        <f>'Stavební rozpočet'!O60</f>
        <v>0</v>
      </c>
      <c r="H24" s="72" t="s">
        <v>372</v>
      </c>
      <c r="I24" s="33">
        <f t="shared" si="0"/>
        <v>0</v>
      </c>
    </row>
    <row r="25" spans="1:9" ht="14.4" x14ac:dyDescent="0.3">
      <c r="A25" s="2" t="s">
        <v>56</v>
      </c>
      <c r="B25" s="3" t="s">
        <v>211</v>
      </c>
      <c r="C25" s="3" t="s">
        <v>212</v>
      </c>
      <c r="D25" s="33">
        <f>'Stavební rozpočet'!J62</f>
        <v>0</v>
      </c>
      <c r="E25" s="33">
        <f>'Stavební rozpočet'!K62</f>
        <v>0</v>
      </c>
      <c r="F25" s="33">
        <f>'Stavební rozpočet'!L62</f>
        <v>0</v>
      </c>
      <c r="G25" s="56">
        <f>'Stavební rozpočet'!O62</f>
        <v>22.204799999999999</v>
      </c>
      <c r="H25" s="72" t="s">
        <v>372</v>
      </c>
      <c r="I25" s="33">
        <f t="shared" si="0"/>
        <v>0</v>
      </c>
    </row>
    <row r="26" spans="1:9" ht="14.4" x14ac:dyDescent="0.3">
      <c r="A26" s="2" t="s">
        <v>56</v>
      </c>
      <c r="B26" s="3" t="s">
        <v>226</v>
      </c>
      <c r="C26" s="3" t="s">
        <v>227</v>
      </c>
      <c r="D26" s="33">
        <f>'Stavební rozpočet'!J67</f>
        <v>0</v>
      </c>
      <c r="E26" s="33">
        <f>'Stavební rozpočet'!K67</f>
        <v>0</v>
      </c>
      <c r="F26" s="33">
        <f>'Stavební rozpočet'!L67</f>
        <v>0</v>
      </c>
      <c r="G26" s="56">
        <f>'Stavební rozpočet'!O67</f>
        <v>7.7054000000000011E-2</v>
      </c>
      <c r="H26" s="72" t="s">
        <v>372</v>
      </c>
      <c r="I26" s="33">
        <f t="shared" si="0"/>
        <v>0</v>
      </c>
    </row>
    <row r="27" spans="1:9" ht="14.4" x14ac:dyDescent="0.3">
      <c r="A27" s="2" t="s">
        <v>56</v>
      </c>
      <c r="B27" s="3" t="s">
        <v>254</v>
      </c>
      <c r="C27" s="3" t="s">
        <v>255</v>
      </c>
      <c r="D27" s="33">
        <f>'Stavební rozpočet'!J76</f>
        <v>0</v>
      </c>
      <c r="E27" s="33">
        <f>'Stavební rozpočet'!K76</f>
        <v>0</v>
      </c>
      <c r="F27" s="33">
        <f>'Stavební rozpočet'!L76</f>
        <v>0</v>
      </c>
      <c r="G27" s="56">
        <f>'Stavební rozpočet'!O76</f>
        <v>2365.8766880820003</v>
      </c>
      <c r="H27" s="72" t="s">
        <v>372</v>
      </c>
      <c r="I27" s="33">
        <f t="shared" si="0"/>
        <v>0</v>
      </c>
    </row>
    <row r="28" spans="1:9" ht="14.4" x14ac:dyDescent="0.3">
      <c r="A28" s="41" t="s">
        <v>56</v>
      </c>
      <c r="B28" s="42" t="s">
        <v>348</v>
      </c>
      <c r="C28" s="42" t="s">
        <v>349</v>
      </c>
      <c r="D28" s="44">
        <f>'Stavební rozpočet'!J110</f>
        <v>0</v>
      </c>
      <c r="E28" s="44">
        <f>'Stavební rozpočet'!K110</f>
        <v>0</v>
      </c>
      <c r="F28" s="44">
        <f>'Stavební rozpočet'!L110</f>
        <v>0</v>
      </c>
      <c r="G28" s="61">
        <f>'Stavební rozpočet'!O110</f>
        <v>4.4128999999999996</v>
      </c>
      <c r="H28" s="72" t="s">
        <v>372</v>
      </c>
      <c r="I28" s="33">
        <f t="shared" si="0"/>
        <v>0</v>
      </c>
    </row>
    <row r="29" spans="1:9" ht="14.4" x14ac:dyDescent="0.3">
      <c r="E29" s="47" t="s">
        <v>357</v>
      </c>
      <c r="F29" s="48">
        <f>ROUND(SUM(I11:I28),0)</f>
        <v>0</v>
      </c>
    </row>
  </sheetData>
  <mergeCells count="25">
    <mergeCell ref="G2:G3"/>
    <mergeCell ref="G4:G5"/>
    <mergeCell ref="G6:G7"/>
    <mergeCell ref="G8:G9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opLeftCell="A13" workbookViewId="0">
      <selection activeCell="A37" sqref="A37:I37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7.109375" customWidth="1"/>
    <col min="4" max="4" width="10" customWidth="1"/>
    <col min="5" max="5" width="14" customWidth="1"/>
    <col min="6" max="6" width="27.109375" customWidth="1"/>
    <col min="7" max="7" width="9.109375" customWidth="1"/>
    <col min="8" max="8" width="12.88671875" customWidth="1"/>
    <col min="9" max="9" width="27.109375" customWidth="1"/>
  </cols>
  <sheetData>
    <row r="1" spans="1:9" ht="54.75" customHeight="1" x14ac:dyDescent="0.3">
      <c r="A1" s="134" t="s">
        <v>373</v>
      </c>
      <c r="B1" s="97"/>
      <c r="C1" s="97"/>
      <c r="D1" s="97"/>
      <c r="E1" s="97"/>
      <c r="F1" s="97"/>
      <c r="G1" s="97"/>
      <c r="H1" s="97"/>
      <c r="I1" s="97"/>
    </row>
    <row r="2" spans="1:9" ht="14.4" x14ac:dyDescent="0.3">
      <c r="A2" s="98" t="s">
        <v>1</v>
      </c>
      <c r="B2" s="99"/>
      <c r="C2" s="107" t="str">
        <f>'Stavební rozpočet'!D2</f>
        <v>SO-01 Výstavba rozhledny na Jitrovníku  Šluknov</v>
      </c>
      <c r="D2" s="108"/>
      <c r="E2" s="105" t="s">
        <v>5</v>
      </c>
      <c r="F2" s="105" t="str">
        <f>'Stavební rozpočet'!K2</f>
        <v>Město Šluknov nám. Míru 1, 407 47 Šluknov</v>
      </c>
      <c r="G2" s="99"/>
      <c r="H2" s="105" t="s">
        <v>374</v>
      </c>
      <c r="I2" s="120" t="s">
        <v>56</v>
      </c>
    </row>
    <row r="3" spans="1:9" ht="15" customHeight="1" x14ac:dyDescent="0.3">
      <c r="A3" s="100"/>
      <c r="B3" s="101"/>
      <c r="C3" s="109"/>
      <c r="D3" s="109"/>
      <c r="E3" s="101"/>
      <c r="F3" s="101"/>
      <c r="G3" s="101"/>
      <c r="H3" s="101"/>
      <c r="I3" s="121"/>
    </row>
    <row r="4" spans="1:9" ht="14.4" x14ac:dyDescent="0.3">
      <c r="A4" s="102" t="s">
        <v>7</v>
      </c>
      <c r="B4" s="101"/>
      <c r="C4" s="106" t="str">
        <f>'Stavební rozpočet'!D4</f>
        <v>Rozhledna</v>
      </c>
      <c r="D4" s="101"/>
      <c r="E4" s="106" t="s">
        <v>10</v>
      </c>
      <c r="F4" s="106" t="str">
        <f>'Stavební rozpočet'!K4</f>
        <v>Ing. arch . Tomáš Beneš ve Strouhách 969/13 Praha</v>
      </c>
      <c r="G4" s="101"/>
      <c r="H4" s="106" t="s">
        <v>374</v>
      </c>
      <c r="I4" s="121" t="s">
        <v>375</v>
      </c>
    </row>
    <row r="5" spans="1:9" ht="15" customHeight="1" x14ac:dyDescent="0.3">
      <c r="A5" s="100"/>
      <c r="B5" s="101"/>
      <c r="C5" s="101"/>
      <c r="D5" s="101"/>
      <c r="E5" s="101"/>
      <c r="F5" s="101"/>
      <c r="G5" s="101"/>
      <c r="H5" s="101"/>
      <c r="I5" s="121"/>
    </row>
    <row r="6" spans="1:9" ht="14.4" x14ac:dyDescent="0.3">
      <c r="A6" s="102" t="s">
        <v>12</v>
      </c>
      <c r="B6" s="101"/>
      <c r="C6" s="106" t="str">
        <f>'Stavební rozpočet'!D6</f>
        <v>Jitrovník</v>
      </c>
      <c r="D6" s="101"/>
      <c r="E6" s="106" t="s">
        <v>15</v>
      </c>
      <c r="F6" s="106" t="str">
        <f>'Stavební rozpočet'!K6</f>
        <v>Bude vybrán investorem</v>
      </c>
      <c r="G6" s="101"/>
      <c r="H6" s="106" t="s">
        <v>374</v>
      </c>
      <c r="I6" s="121" t="s">
        <v>56</v>
      </c>
    </row>
    <row r="7" spans="1:9" ht="15" customHeight="1" x14ac:dyDescent="0.3">
      <c r="A7" s="100"/>
      <c r="B7" s="101"/>
      <c r="C7" s="101"/>
      <c r="D7" s="101"/>
      <c r="E7" s="101"/>
      <c r="F7" s="101"/>
      <c r="G7" s="101"/>
      <c r="H7" s="101"/>
      <c r="I7" s="121"/>
    </row>
    <row r="8" spans="1:9" ht="14.4" x14ac:dyDescent="0.3">
      <c r="A8" s="102" t="s">
        <v>9</v>
      </c>
      <c r="B8" s="101"/>
      <c r="C8" s="106" t="str">
        <f>'Stavební rozpočet'!H4</f>
        <v xml:space="preserve"> </v>
      </c>
      <c r="D8" s="101"/>
      <c r="E8" s="106" t="s">
        <v>14</v>
      </c>
      <c r="F8" s="106" t="str">
        <f>'Stavební rozpočet'!H6</f>
        <v xml:space="preserve"> </v>
      </c>
      <c r="G8" s="101"/>
      <c r="H8" s="101" t="s">
        <v>376</v>
      </c>
      <c r="I8" s="135">
        <v>85</v>
      </c>
    </row>
    <row r="9" spans="1:9" ht="14.4" x14ac:dyDescent="0.3">
      <c r="A9" s="100"/>
      <c r="B9" s="101"/>
      <c r="C9" s="101"/>
      <c r="D9" s="101"/>
      <c r="E9" s="101"/>
      <c r="F9" s="101"/>
      <c r="G9" s="101"/>
      <c r="H9" s="101"/>
      <c r="I9" s="121"/>
    </row>
    <row r="10" spans="1:9" ht="14.4" x14ac:dyDescent="0.3">
      <c r="A10" s="102" t="s">
        <v>17</v>
      </c>
      <c r="B10" s="101"/>
      <c r="C10" s="106" t="str">
        <f>'Stavební rozpočet'!D8</f>
        <v xml:space="preserve"> </v>
      </c>
      <c r="D10" s="101"/>
      <c r="E10" s="106" t="s">
        <v>20</v>
      </c>
      <c r="F10" s="106" t="str">
        <f>'Stavební rozpočet'!K8</f>
        <v> </v>
      </c>
      <c r="G10" s="101"/>
      <c r="H10" s="101" t="s">
        <v>377</v>
      </c>
      <c r="I10" s="133" t="str">
        <f>'Stavební rozpočet'!H8</f>
        <v>06.10.2023</v>
      </c>
    </row>
    <row r="11" spans="1:9" ht="14.4" x14ac:dyDescent="0.3">
      <c r="A11" s="130"/>
      <c r="B11" s="128"/>
      <c r="C11" s="128"/>
      <c r="D11" s="128"/>
      <c r="E11" s="128"/>
      <c r="F11" s="128"/>
      <c r="G11" s="128"/>
      <c r="H11" s="128"/>
      <c r="I11" s="131"/>
    </row>
    <row r="12" spans="1:9" ht="22.8" x14ac:dyDescent="0.3">
      <c r="A12" s="136" t="s">
        <v>378</v>
      </c>
      <c r="B12" s="136"/>
      <c r="C12" s="136"/>
      <c r="D12" s="136"/>
      <c r="E12" s="136"/>
      <c r="F12" s="136"/>
      <c r="G12" s="136"/>
      <c r="H12" s="136"/>
      <c r="I12" s="136"/>
    </row>
    <row r="13" spans="1:9" ht="26.25" customHeight="1" x14ac:dyDescent="0.3">
      <c r="A13" s="73" t="s">
        <v>379</v>
      </c>
      <c r="B13" s="137" t="s">
        <v>380</v>
      </c>
      <c r="C13" s="138"/>
      <c r="D13" s="74" t="s">
        <v>381</v>
      </c>
      <c r="E13" s="137" t="s">
        <v>382</v>
      </c>
      <c r="F13" s="138"/>
      <c r="G13" s="74" t="s">
        <v>383</v>
      </c>
      <c r="H13" s="137" t="s">
        <v>384</v>
      </c>
      <c r="I13" s="138"/>
    </row>
    <row r="14" spans="1:9" ht="15.6" x14ac:dyDescent="0.3">
      <c r="A14" s="75" t="s">
        <v>385</v>
      </c>
      <c r="B14" s="76" t="s">
        <v>386</v>
      </c>
      <c r="C14" s="77">
        <f>SUM('Stavební rozpočet'!AB12:AB112)</f>
        <v>0</v>
      </c>
      <c r="D14" s="145" t="s">
        <v>387</v>
      </c>
      <c r="E14" s="146"/>
      <c r="F14" s="77">
        <f>VORN!I15</f>
        <v>0</v>
      </c>
      <c r="G14" s="145" t="s">
        <v>61</v>
      </c>
      <c r="H14" s="146"/>
      <c r="I14" s="77">
        <f>VORN!I21</f>
        <v>0</v>
      </c>
    </row>
    <row r="15" spans="1:9" ht="15.6" x14ac:dyDescent="0.3">
      <c r="A15" s="78" t="s">
        <v>56</v>
      </c>
      <c r="B15" s="76" t="s">
        <v>39</v>
      </c>
      <c r="C15" s="77">
        <f>SUM('Stavební rozpočet'!AC12:AC112)</f>
        <v>0</v>
      </c>
      <c r="D15" s="145" t="s">
        <v>388</v>
      </c>
      <c r="E15" s="146"/>
      <c r="F15" s="77">
        <f>VORN!I16</f>
        <v>0</v>
      </c>
      <c r="G15" s="145" t="s">
        <v>389</v>
      </c>
      <c r="H15" s="146"/>
      <c r="I15" s="77">
        <f>VORN!I22</f>
        <v>0</v>
      </c>
    </row>
    <row r="16" spans="1:9" ht="15.6" x14ac:dyDescent="0.3">
      <c r="A16" s="75" t="s">
        <v>390</v>
      </c>
      <c r="B16" s="76" t="s">
        <v>386</v>
      </c>
      <c r="C16" s="77">
        <f>SUM('Stavební rozpočet'!AD12:AD112)</f>
        <v>0</v>
      </c>
      <c r="D16" s="145" t="s">
        <v>391</v>
      </c>
      <c r="E16" s="146"/>
      <c r="F16" s="77">
        <f>VORN!I17</f>
        <v>0</v>
      </c>
      <c r="G16" s="145" t="s">
        <v>71</v>
      </c>
      <c r="H16" s="146"/>
      <c r="I16" s="77">
        <f>VORN!I23</f>
        <v>0</v>
      </c>
    </row>
    <row r="17" spans="1:9" ht="15.6" x14ac:dyDescent="0.3">
      <c r="A17" s="78" t="s">
        <v>56</v>
      </c>
      <c r="B17" s="76" t="s">
        <v>39</v>
      </c>
      <c r="C17" s="77">
        <f>SUM('Stavební rozpočet'!AE12:AE112)</f>
        <v>0</v>
      </c>
      <c r="D17" s="145" t="s">
        <v>56</v>
      </c>
      <c r="E17" s="146"/>
      <c r="F17" s="79" t="s">
        <v>56</v>
      </c>
      <c r="G17" s="145" t="s">
        <v>73</v>
      </c>
      <c r="H17" s="146"/>
      <c r="I17" s="77">
        <f>VORN!I24</f>
        <v>0</v>
      </c>
    </row>
    <row r="18" spans="1:9" ht="15.6" x14ac:dyDescent="0.3">
      <c r="A18" s="75" t="s">
        <v>392</v>
      </c>
      <c r="B18" s="76" t="s">
        <v>386</v>
      </c>
      <c r="C18" s="77">
        <f>SUM('Stavební rozpočet'!AF12:AF112)</f>
        <v>0</v>
      </c>
      <c r="D18" s="145" t="s">
        <v>56</v>
      </c>
      <c r="E18" s="146"/>
      <c r="F18" s="79" t="s">
        <v>56</v>
      </c>
      <c r="G18" s="145" t="s">
        <v>393</v>
      </c>
      <c r="H18" s="146"/>
      <c r="I18" s="77">
        <f>VORN!I25</f>
        <v>0</v>
      </c>
    </row>
    <row r="19" spans="1:9" ht="15.6" x14ac:dyDescent="0.3">
      <c r="A19" s="78" t="s">
        <v>56</v>
      </c>
      <c r="B19" s="76" t="s">
        <v>39</v>
      </c>
      <c r="C19" s="77">
        <f>SUM('Stavební rozpočet'!AG12:AG112)</f>
        <v>0</v>
      </c>
      <c r="D19" s="145" t="s">
        <v>56</v>
      </c>
      <c r="E19" s="146"/>
      <c r="F19" s="79" t="s">
        <v>56</v>
      </c>
      <c r="G19" s="145" t="s">
        <v>394</v>
      </c>
      <c r="H19" s="146"/>
      <c r="I19" s="77">
        <f>VORN!I26</f>
        <v>0</v>
      </c>
    </row>
    <row r="20" spans="1:9" ht="15.6" x14ac:dyDescent="0.3">
      <c r="A20" s="139" t="s">
        <v>395</v>
      </c>
      <c r="B20" s="140"/>
      <c r="C20" s="77">
        <f>SUM('Stavební rozpočet'!AH12:AH112)</f>
        <v>0</v>
      </c>
      <c r="D20" s="145" t="s">
        <v>56</v>
      </c>
      <c r="E20" s="146"/>
      <c r="F20" s="79" t="s">
        <v>56</v>
      </c>
      <c r="G20" s="145" t="s">
        <v>56</v>
      </c>
      <c r="H20" s="146"/>
      <c r="I20" s="79" t="s">
        <v>56</v>
      </c>
    </row>
    <row r="21" spans="1:9" ht="15.6" x14ac:dyDescent="0.3">
      <c r="A21" s="141" t="s">
        <v>396</v>
      </c>
      <c r="B21" s="142"/>
      <c r="C21" s="80">
        <f>SUM('Stavební rozpočet'!Z12:Z112)</f>
        <v>0</v>
      </c>
      <c r="D21" s="147" t="s">
        <v>56</v>
      </c>
      <c r="E21" s="148"/>
      <c r="F21" s="81" t="s">
        <v>56</v>
      </c>
      <c r="G21" s="147" t="s">
        <v>56</v>
      </c>
      <c r="H21" s="148"/>
      <c r="I21" s="81" t="s">
        <v>56</v>
      </c>
    </row>
    <row r="22" spans="1:9" ht="16.5" customHeight="1" x14ac:dyDescent="0.3">
      <c r="A22" s="143" t="s">
        <v>397</v>
      </c>
      <c r="B22" s="144"/>
      <c r="C22" s="82">
        <f>ROUND(SUM(C14:C21),0)</f>
        <v>0</v>
      </c>
      <c r="D22" s="149" t="s">
        <v>398</v>
      </c>
      <c r="E22" s="144"/>
      <c r="F22" s="82">
        <f>SUM(F14:F21)</f>
        <v>0</v>
      </c>
      <c r="G22" s="149" t="s">
        <v>399</v>
      </c>
      <c r="H22" s="144"/>
      <c r="I22" s="82">
        <f>SUM(I14:I21)</f>
        <v>0</v>
      </c>
    </row>
    <row r="23" spans="1:9" ht="15.6" x14ac:dyDescent="0.3">
      <c r="D23" s="139" t="s">
        <v>400</v>
      </c>
      <c r="E23" s="140"/>
      <c r="F23" s="83">
        <v>0</v>
      </c>
      <c r="G23" s="150" t="s">
        <v>401</v>
      </c>
      <c r="H23" s="140"/>
      <c r="I23" s="77">
        <v>0</v>
      </c>
    </row>
    <row r="24" spans="1:9" ht="15.6" x14ac:dyDescent="0.3">
      <c r="G24" s="139" t="s">
        <v>402</v>
      </c>
      <c r="H24" s="140"/>
      <c r="I24" s="77">
        <f>vorn_sum</f>
        <v>0</v>
      </c>
    </row>
    <row r="25" spans="1:9" ht="15.6" x14ac:dyDescent="0.3">
      <c r="G25" s="139" t="s">
        <v>403</v>
      </c>
      <c r="H25" s="140"/>
      <c r="I25" s="77">
        <v>0</v>
      </c>
    </row>
    <row r="27" spans="1:9" ht="15.6" x14ac:dyDescent="0.3">
      <c r="A27" s="151" t="s">
        <v>404</v>
      </c>
      <c r="B27" s="152"/>
      <c r="C27" s="84">
        <f>ROUND(SUM('Stavební rozpočet'!AJ12:AJ112),0)</f>
        <v>0</v>
      </c>
    </row>
    <row r="28" spans="1:9" ht="15.6" x14ac:dyDescent="0.3">
      <c r="A28" s="153" t="s">
        <v>405</v>
      </c>
      <c r="B28" s="154"/>
      <c r="C28" s="85">
        <f>ROUND(SUM('Stavební rozpočet'!AK12:AK112),0)</f>
        <v>0</v>
      </c>
      <c r="D28" s="155" t="s">
        <v>406</v>
      </c>
      <c r="E28" s="152"/>
      <c r="F28" s="84">
        <f>ROUND(C28*(12/100),2)</f>
        <v>0</v>
      </c>
      <c r="G28" s="155" t="s">
        <v>407</v>
      </c>
      <c r="H28" s="152"/>
      <c r="I28" s="84">
        <f>ROUND(SUM(C27:C29),0)</f>
        <v>0</v>
      </c>
    </row>
    <row r="29" spans="1:9" ht="15.6" x14ac:dyDescent="0.3">
      <c r="A29" s="153" t="s">
        <v>408</v>
      </c>
      <c r="B29" s="154"/>
      <c r="C29" s="85">
        <f>ROUND(SUM('Stavební rozpočet'!AL12:AL112)+(F22+I22+F23+I23+I24+I25),0)</f>
        <v>0</v>
      </c>
      <c r="D29" s="156" t="s">
        <v>409</v>
      </c>
      <c r="E29" s="154"/>
      <c r="F29" s="85">
        <f>ROUND(C29*(21/100),2)</f>
        <v>0</v>
      </c>
      <c r="G29" s="156" t="s">
        <v>410</v>
      </c>
      <c r="H29" s="154"/>
      <c r="I29" s="85">
        <f>ROUND(SUM(F28:F29)+I28,0)</f>
        <v>0</v>
      </c>
    </row>
    <row r="31" spans="1:9" x14ac:dyDescent="0.3">
      <c r="A31" s="166" t="s">
        <v>411</v>
      </c>
      <c r="B31" s="158"/>
      <c r="C31" s="159"/>
      <c r="D31" s="157" t="s">
        <v>412</v>
      </c>
      <c r="E31" s="158"/>
      <c r="F31" s="159"/>
      <c r="G31" s="157" t="s">
        <v>413</v>
      </c>
      <c r="H31" s="158"/>
      <c r="I31" s="159"/>
    </row>
    <row r="32" spans="1:9" x14ac:dyDescent="0.3">
      <c r="A32" s="167" t="s">
        <v>56</v>
      </c>
      <c r="B32" s="161"/>
      <c r="C32" s="162"/>
      <c r="D32" s="160" t="s">
        <v>56</v>
      </c>
      <c r="E32" s="161"/>
      <c r="F32" s="162"/>
      <c r="G32" s="160" t="s">
        <v>56</v>
      </c>
      <c r="H32" s="161"/>
      <c r="I32" s="162"/>
    </row>
    <row r="33" spans="1:9" x14ac:dyDescent="0.3">
      <c r="A33" s="167" t="s">
        <v>56</v>
      </c>
      <c r="B33" s="161"/>
      <c r="C33" s="162"/>
      <c r="D33" s="160" t="s">
        <v>56</v>
      </c>
      <c r="E33" s="161"/>
      <c r="F33" s="162"/>
      <c r="G33" s="160" t="s">
        <v>56</v>
      </c>
      <c r="H33" s="161"/>
      <c r="I33" s="162"/>
    </row>
    <row r="34" spans="1:9" x14ac:dyDescent="0.3">
      <c r="A34" s="167" t="s">
        <v>56</v>
      </c>
      <c r="B34" s="161"/>
      <c r="C34" s="162"/>
      <c r="D34" s="160" t="s">
        <v>56</v>
      </c>
      <c r="E34" s="161"/>
      <c r="F34" s="162"/>
      <c r="G34" s="160" t="s">
        <v>56</v>
      </c>
      <c r="H34" s="161"/>
      <c r="I34" s="162"/>
    </row>
    <row r="35" spans="1:9" x14ac:dyDescent="0.3">
      <c r="A35" s="168" t="s">
        <v>414</v>
      </c>
      <c r="B35" s="164"/>
      <c r="C35" s="165"/>
      <c r="D35" s="163" t="s">
        <v>414</v>
      </c>
      <c r="E35" s="164"/>
      <c r="F35" s="165"/>
      <c r="G35" s="163" t="s">
        <v>414</v>
      </c>
      <c r="H35" s="164"/>
      <c r="I35" s="165"/>
    </row>
    <row r="36" spans="1:9" ht="14.4" x14ac:dyDescent="0.3">
      <c r="A36" s="86" t="s">
        <v>358</v>
      </c>
    </row>
    <row r="37" spans="1:9" ht="12.75" customHeight="1" x14ac:dyDescent="0.3">
      <c r="A37" s="106" t="s">
        <v>56</v>
      </c>
      <c r="B37" s="101"/>
      <c r="C37" s="101"/>
      <c r="D37" s="101"/>
      <c r="E37" s="101"/>
      <c r="F37" s="101"/>
      <c r="G37" s="101"/>
      <c r="H37" s="101"/>
      <c r="I37" s="101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workbookViewId="0">
      <selection activeCell="A36" sqref="A36:E36"/>
    </sheetView>
  </sheetViews>
  <sheetFormatPr defaultColWidth="12.109375" defaultRowHeight="15" customHeight="1" x14ac:dyDescent="0.3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9" ht="54.75" customHeight="1" x14ac:dyDescent="0.3">
      <c r="A1" s="134" t="s">
        <v>415</v>
      </c>
      <c r="B1" s="97"/>
      <c r="C1" s="97"/>
      <c r="D1" s="97"/>
      <c r="E1" s="97"/>
      <c r="F1" s="97"/>
      <c r="G1" s="97"/>
      <c r="H1" s="97"/>
      <c r="I1" s="97"/>
    </row>
    <row r="2" spans="1:9" ht="14.4" x14ac:dyDescent="0.3">
      <c r="A2" s="98" t="s">
        <v>1</v>
      </c>
      <c r="B2" s="99"/>
      <c r="C2" s="107" t="str">
        <f>'Stavební rozpočet'!D2</f>
        <v>SO-01 Výstavba rozhledny na Jitrovníku  Šluknov</v>
      </c>
      <c r="D2" s="108"/>
      <c r="E2" s="105" t="s">
        <v>5</v>
      </c>
      <c r="F2" s="105" t="str">
        <f>'Stavební rozpočet'!K2</f>
        <v>Město Šluknov nám. Míru 1, 407 47 Šluknov</v>
      </c>
      <c r="G2" s="99"/>
      <c r="H2" s="105" t="s">
        <v>374</v>
      </c>
      <c r="I2" s="120" t="s">
        <v>56</v>
      </c>
    </row>
    <row r="3" spans="1:9" ht="15" customHeight="1" x14ac:dyDescent="0.3">
      <c r="A3" s="100"/>
      <c r="B3" s="101"/>
      <c r="C3" s="109"/>
      <c r="D3" s="109"/>
      <c r="E3" s="101"/>
      <c r="F3" s="101"/>
      <c r="G3" s="101"/>
      <c r="H3" s="101"/>
      <c r="I3" s="121"/>
    </row>
    <row r="4" spans="1:9" ht="14.4" x14ac:dyDescent="0.3">
      <c r="A4" s="102" t="s">
        <v>7</v>
      </c>
      <c r="B4" s="101"/>
      <c r="C4" s="106" t="str">
        <f>'Stavební rozpočet'!D4</f>
        <v>Rozhledna</v>
      </c>
      <c r="D4" s="101"/>
      <c r="E4" s="106" t="s">
        <v>10</v>
      </c>
      <c r="F4" s="106" t="str">
        <f>'Stavební rozpočet'!K4</f>
        <v>Ing. arch . Tomáš Beneš ve Strouhách 969/13 Praha</v>
      </c>
      <c r="G4" s="101"/>
      <c r="H4" s="106" t="s">
        <v>374</v>
      </c>
      <c r="I4" s="121" t="s">
        <v>375</v>
      </c>
    </row>
    <row r="5" spans="1:9" ht="15" customHeight="1" x14ac:dyDescent="0.3">
      <c r="A5" s="100"/>
      <c r="B5" s="101"/>
      <c r="C5" s="101"/>
      <c r="D5" s="101"/>
      <c r="E5" s="101"/>
      <c r="F5" s="101"/>
      <c r="G5" s="101"/>
      <c r="H5" s="101"/>
      <c r="I5" s="121"/>
    </row>
    <row r="6" spans="1:9" ht="14.4" x14ac:dyDescent="0.3">
      <c r="A6" s="102" t="s">
        <v>12</v>
      </c>
      <c r="B6" s="101"/>
      <c r="C6" s="106" t="str">
        <f>'Stavební rozpočet'!D6</f>
        <v>Jitrovník</v>
      </c>
      <c r="D6" s="101"/>
      <c r="E6" s="106" t="s">
        <v>15</v>
      </c>
      <c r="F6" s="106" t="str">
        <f>'Stavební rozpočet'!K6</f>
        <v>Bude vybrán investorem</v>
      </c>
      <c r="G6" s="101"/>
      <c r="H6" s="106" t="s">
        <v>374</v>
      </c>
      <c r="I6" s="121" t="s">
        <v>56</v>
      </c>
    </row>
    <row r="7" spans="1:9" ht="15" customHeight="1" x14ac:dyDescent="0.3">
      <c r="A7" s="100"/>
      <c r="B7" s="101"/>
      <c r="C7" s="101"/>
      <c r="D7" s="101"/>
      <c r="E7" s="101"/>
      <c r="F7" s="101"/>
      <c r="G7" s="101"/>
      <c r="H7" s="101"/>
      <c r="I7" s="121"/>
    </row>
    <row r="8" spans="1:9" ht="14.4" x14ac:dyDescent="0.3">
      <c r="A8" s="102" t="s">
        <v>9</v>
      </c>
      <c r="B8" s="101"/>
      <c r="C8" s="106" t="str">
        <f>'Stavební rozpočet'!H4</f>
        <v xml:space="preserve"> </v>
      </c>
      <c r="D8" s="101"/>
      <c r="E8" s="106" t="s">
        <v>14</v>
      </c>
      <c r="F8" s="106" t="str">
        <f>'Stavební rozpočet'!H6</f>
        <v xml:space="preserve"> </v>
      </c>
      <c r="G8" s="101"/>
      <c r="H8" s="101" t="s">
        <v>376</v>
      </c>
      <c r="I8" s="135">
        <v>85</v>
      </c>
    </row>
    <row r="9" spans="1:9" ht="14.4" x14ac:dyDescent="0.3">
      <c r="A9" s="100"/>
      <c r="B9" s="101"/>
      <c r="C9" s="101"/>
      <c r="D9" s="101"/>
      <c r="E9" s="101"/>
      <c r="F9" s="101"/>
      <c r="G9" s="101"/>
      <c r="H9" s="101"/>
      <c r="I9" s="121"/>
    </row>
    <row r="10" spans="1:9" ht="14.4" x14ac:dyDescent="0.3">
      <c r="A10" s="102" t="s">
        <v>17</v>
      </c>
      <c r="B10" s="101"/>
      <c r="C10" s="106" t="str">
        <f>'Stavební rozpočet'!D8</f>
        <v xml:space="preserve"> </v>
      </c>
      <c r="D10" s="101"/>
      <c r="E10" s="106" t="s">
        <v>20</v>
      </c>
      <c r="F10" s="106" t="str">
        <f>'Stavební rozpočet'!K8</f>
        <v> </v>
      </c>
      <c r="G10" s="101"/>
      <c r="H10" s="101" t="s">
        <v>377</v>
      </c>
      <c r="I10" s="133" t="str">
        <f>'Stavební rozpočet'!H8</f>
        <v>06.10.2023</v>
      </c>
    </row>
    <row r="11" spans="1:9" ht="14.4" x14ac:dyDescent="0.3">
      <c r="A11" s="130"/>
      <c r="B11" s="128"/>
      <c r="C11" s="128"/>
      <c r="D11" s="128"/>
      <c r="E11" s="128"/>
      <c r="F11" s="128"/>
      <c r="G11" s="128"/>
      <c r="H11" s="128"/>
      <c r="I11" s="131"/>
    </row>
    <row r="13" spans="1:9" ht="15.6" x14ac:dyDescent="0.3">
      <c r="A13" s="169" t="s">
        <v>416</v>
      </c>
      <c r="B13" s="169"/>
      <c r="C13" s="169"/>
      <c r="D13" s="169"/>
      <c r="E13" s="169"/>
    </row>
    <row r="14" spans="1:9" ht="14.4" x14ac:dyDescent="0.3">
      <c r="A14" s="170" t="s">
        <v>417</v>
      </c>
      <c r="B14" s="171"/>
      <c r="C14" s="171"/>
      <c r="D14" s="171"/>
      <c r="E14" s="172"/>
      <c r="F14" s="87" t="s">
        <v>418</v>
      </c>
      <c r="G14" s="87" t="s">
        <v>419</v>
      </c>
      <c r="H14" s="87" t="s">
        <v>420</v>
      </c>
      <c r="I14" s="87" t="s">
        <v>418</v>
      </c>
    </row>
    <row r="15" spans="1:9" ht="14.4" x14ac:dyDescent="0.3">
      <c r="A15" s="173" t="s">
        <v>387</v>
      </c>
      <c r="B15" s="174"/>
      <c r="C15" s="174"/>
      <c r="D15" s="174"/>
      <c r="E15" s="175"/>
      <c r="F15" s="88">
        <v>0</v>
      </c>
      <c r="G15" s="89" t="s">
        <v>56</v>
      </c>
      <c r="H15" s="89" t="s">
        <v>56</v>
      </c>
      <c r="I15" s="88">
        <f>F15</f>
        <v>0</v>
      </c>
    </row>
    <row r="16" spans="1:9" ht="14.4" x14ac:dyDescent="0.3">
      <c r="A16" s="173" t="s">
        <v>388</v>
      </c>
      <c r="B16" s="174"/>
      <c r="C16" s="174"/>
      <c r="D16" s="174"/>
      <c r="E16" s="175"/>
      <c r="F16" s="88">
        <v>0</v>
      </c>
      <c r="G16" s="89" t="s">
        <v>56</v>
      </c>
      <c r="H16" s="89" t="s">
        <v>56</v>
      </c>
      <c r="I16" s="88">
        <f>F16</f>
        <v>0</v>
      </c>
    </row>
    <row r="17" spans="1:9" ht="14.4" x14ac:dyDescent="0.3">
      <c r="A17" s="176" t="s">
        <v>391</v>
      </c>
      <c r="B17" s="177"/>
      <c r="C17" s="177"/>
      <c r="D17" s="177"/>
      <c r="E17" s="178"/>
      <c r="F17" s="90">
        <v>0</v>
      </c>
      <c r="G17" s="91" t="s">
        <v>56</v>
      </c>
      <c r="H17" s="91" t="s">
        <v>56</v>
      </c>
      <c r="I17" s="90">
        <f>F17</f>
        <v>0</v>
      </c>
    </row>
    <row r="18" spans="1:9" ht="14.4" x14ac:dyDescent="0.3">
      <c r="A18" s="179" t="s">
        <v>421</v>
      </c>
      <c r="B18" s="180"/>
      <c r="C18" s="180"/>
      <c r="D18" s="180"/>
      <c r="E18" s="181"/>
      <c r="F18" s="92" t="s">
        <v>56</v>
      </c>
      <c r="G18" s="93" t="s">
        <v>56</v>
      </c>
      <c r="H18" s="93" t="s">
        <v>56</v>
      </c>
      <c r="I18" s="94">
        <f>SUM(I15:I17)</f>
        <v>0</v>
      </c>
    </row>
    <row r="20" spans="1:9" ht="14.4" x14ac:dyDescent="0.3">
      <c r="A20" s="170" t="s">
        <v>384</v>
      </c>
      <c r="B20" s="171"/>
      <c r="C20" s="171"/>
      <c r="D20" s="171"/>
      <c r="E20" s="172"/>
      <c r="F20" s="87" t="s">
        <v>418</v>
      </c>
      <c r="G20" s="87" t="s">
        <v>419</v>
      </c>
      <c r="H20" s="87" t="s">
        <v>420</v>
      </c>
      <c r="I20" s="87" t="s">
        <v>418</v>
      </c>
    </row>
    <row r="21" spans="1:9" ht="14.4" x14ac:dyDescent="0.3">
      <c r="A21" s="173" t="s">
        <v>61</v>
      </c>
      <c r="B21" s="174"/>
      <c r="C21" s="174"/>
      <c r="D21" s="174"/>
      <c r="E21" s="175"/>
      <c r="F21" s="88">
        <v>0</v>
      </c>
      <c r="G21" s="89" t="s">
        <v>56</v>
      </c>
      <c r="H21" s="89" t="s">
        <v>56</v>
      </c>
      <c r="I21" s="88">
        <f t="shared" ref="I21:I26" si="0">F21</f>
        <v>0</v>
      </c>
    </row>
    <row r="22" spans="1:9" ht="14.4" x14ac:dyDescent="0.3">
      <c r="A22" s="173" t="s">
        <v>389</v>
      </c>
      <c r="B22" s="174"/>
      <c r="C22" s="174"/>
      <c r="D22" s="174"/>
      <c r="E22" s="175"/>
      <c r="F22" s="88">
        <v>0</v>
      </c>
      <c r="G22" s="89" t="s">
        <v>56</v>
      </c>
      <c r="H22" s="89" t="s">
        <v>56</v>
      </c>
      <c r="I22" s="88">
        <f t="shared" si="0"/>
        <v>0</v>
      </c>
    </row>
    <row r="23" spans="1:9" ht="14.4" x14ac:dyDescent="0.3">
      <c r="A23" s="173" t="s">
        <v>71</v>
      </c>
      <c r="B23" s="174"/>
      <c r="C23" s="174"/>
      <c r="D23" s="174"/>
      <c r="E23" s="175"/>
      <c r="F23" s="88">
        <v>0</v>
      </c>
      <c r="G23" s="89" t="s">
        <v>56</v>
      </c>
      <c r="H23" s="89" t="s">
        <v>56</v>
      </c>
      <c r="I23" s="88">
        <f t="shared" si="0"/>
        <v>0</v>
      </c>
    </row>
    <row r="24" spans="1:9" ht="14.4" x14ac:dyDescent="0.3">
      <c r="A24" s="173" t="s">
        <v>73</v>
      </c>
      <c r="B24" s="174"/>
      <c r="C24" s="174"/>
      <c r="D24" s="174"/>
      <c r="E24" s="175"/>
      <c r="F24" s="88">
        <v>0</v>
      </c>
      <c r="G24" s="89" t="s">
        <v>56</v>
      </c>
      <c r="H24" s="89" t="s">
        <v>56</v>
      </c>
      <c r="I24" s="88">
        <f t="shared" si="0"/>
        <v>0</v>
      </c>
    </row>
    <row r="25" spans="1:9" ht="14.4" x14ac:dyDescent="0.3">
      <c r="A25" s="173" t="s">
        <v>393</v>
      </c>
      <c r="B25" s="174"/>
      <c r="C25" s="174"/>
      <c r="D25" s="174"/>
      <c r="E25" s="175"/>
      <c r="F25" s="88">
        <v>0</v>
      </c>
      <c r="G25" s="89" t="s">
        <v>56</v>
      </c>
      <c r="H25" s="89" t="s">
        <v>56</v>
      </c>
      <c r="I25" s="88">
        <f t="shared" si="0"/>
        <v>0</v>
      </c>
    </row>
    <row r="26" spans="1:9" ht="14.4" x14ac:dyDescent="0.3">
      <c r="A26" s="176" t="s">
        <v>394</v>
      </c>
      <c r="B26" s="177"/>
      <c r="C26" s="177"/>
      <c r="D26" s="177"/>
      <c r="E26" s="178"/>
      <c r="F26" s="90">
        <v>0</v>
      </c>
      <c r="G26" s="91" t="s">
        <v>56</v>
      </c>
      <c r="H26" s="91" t="s">
        <v>56</v>
      </c>
      <c r="I26" s="90">
        <f t="shared" si="0"/>
        <v>0</v>
      </c>
    </row>
    <row r="27" spans="1:9" ht="14.4" x14ac:dyDescent="0.3">
      <c r="A27" s="179" t="s">
        <v>422</v>
      </c>
      <c r="B27" s="180"/>
      <c r="C27" s="180"/>
      <c r="D27" s="180"/>
      <c r="E27" s="181"/>
      <c r="F27" s="92" t="s">
        <v>56</v>
      </c>
      <c r="G27" s="93" t="s">
        <v>56</v>
      </c>
      <c r="H27" s="93" t="s">
        <v>56</v>
      </c>
      <c r="I27" s="94">
        <f>SUM(I21:I26)</f>
        <v>0</v>
      </c>
    </row>
    <row r="29" spans="1:9" ht="15.6" x14ac:dyDescent="0.3">
      <c r="A29" s="182" t="s">
        <v>423</v>
      </c>
      <c r="B29" s="183"/>
      <c r="C29" s="183"/>
      <c r="D29" s="183"/>
      <c r="E29" s="184"/>
      <c r="F29" s="185">
        <f>I18+I27</f>
        <v>0</v>
      </c>
      <c r="G29" s="186"/>
      <c r="H29" s="186"/>
      <c r="I29" s="187"/>
    </row>
    <row r="33" spans="1:9" ht="15.6" x14ac:dyDescent="0.3">
      <c r="A33" s="169" t="s">
        <v>424</v>
      </c>
      <c r="B33" s="169"/>
      <c r="C33" s="169"/>
      <c r="D33" s="169"/>
      <c r="E33" s="169"/>
    </row>
    <row r="34" spans="1:9" ht="14.4" x14ac:dyDescent="0.3">
      <c r="A34" s="170" t="s">
        <v>425</v>
      </c>
      <c r="B34" s="171"/>
      <c r="C34" s="171"/>
      <c r="D34" s="171"/>
      <c r="E34" s="172"/>
      <c r="F34" s="87" t="s">
        <v>418</v>
      </c>
      <c r="G34" s="87" t="s">
        <v>419</v>
      </c>
      <c r="H34" s="87" t="s">
        <v>420</v>
      </c>
      <c r="I34" s="87" t="s">
        <v>418</v>
      </c>
    </row>
    <row r="35" spans="1:9" ht="14.4" x14ac:dyDescent="0.3">
      <c r="A35" s="176" t="s">
        <v>56</v>
      </c>
      <c r="B35" s="177"/>
      <c r="C35" s="177"/>
      <c r="D35" s="177"/>
      <c r="E35" s="178"/>
      <c r="F35" s="90">
        <v>0</v>
      </c>
      <c r="G35" s="91" t="s">
        <v>56</v>
      </c>
      <c r="H35" s="91" t="s">
        <v>56</v>
      </c>
      <c r="I35" s="90">
        <f>F35</f>
        <v>0</v>
      </c>
    </row>
    <row r="36" spans="1:9" ht="14.4" x14ac:dyDescent="0.3">
      <c r="A36" s="179" t="s">
        <v>426</v>
      </c>
      <c r="B36" s="180"/>
      <c r="C36" s="180"/>
      <c r="D36" s="180"/>
      <c r="E36" s="181"/>
      <c r="F36" s="92" t="s">
        <v>56</v>
      </c>
      <c r="G36" s="93" t="s">
        <v>56</v>
      </c>
      <c r="H36" s="93" t="s">
        <v>56</v>
      </c>
      <c r="I36" s="94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Rozpočet - vybrané sloupce</vt:lpstr>
      <vt:lpstr>Stavební rozpočet - součet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Mgr. Martin Chroust</cp:lastModifiedBy>
  <dcterms:created xsi:type="dcterms:W3CDTF">2021-06-10T20:06:38Z</dcterms:created>
  <dcterms:modified xsi:type="dcterms:W3CDTF">2025-03-10T06:26:10Z</dcterms:modified>
</cp:coreProperties>
</file>