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012\busek$\Documents\Documents\2025\INVESTICE\MŠ Svojsíkova 352 - radon\VZMR\"/>
    </mc:Choice>
  </mc:AlternateContent>
  <bookViews>
    <workbookView xWindow="0" yWindow="0" windowWidth="16380" windowHeight="8190"/>
  </bookViews>
  <sheets>
    <sheet name="Stavební rozpočet" sheetId="1" r:id="rId1"/>
    <sheet name="Krycí list rozpočtu" sheetId="2" r:id="rId2"/>
    <sheet name="VORN" sheetId="3" state="hidden" r:id="rId3"/>
  </sheets>
  <definedNames>
    <definedName name="vorn_sum">VORN!$I$40</definedName>
  </definedNames>
  <calcPr calcId="152511"/>
</workbook>
</file>

<file path=xl/calcChain.xml><?xml version="1.0" encoding="utf-8"?>
<calcChain xmlns="http://schemas.openxmlformats.org/spreadsheetml/2006/main">
  <c r="C2" i="2" l="1"/>
  <c r="F2" i="2"/>
  <c r="C4" i="2"/>
  <c r="F4" i="2"/>
  <c r="C6" i="2"/>
  <c r="F6" i="2"/>
  <c r="C8" i="2"/>
  <c r="F8" i="2"/>
  <c r="C10" i="2"/>
  <c r="F10" i="2"/>
  <c r="I10" i="2"/>
  <c r="AS1" i="1"/>
  <c r="AT1" i="1"/>
  <c r="AU1" i="1"/>
  <c r="L12" i="1"/>
  <c r="AT12" i="1"/>
  <c r="L13" i="1"/>
  <c r="O13" i="1"/>
  <c r="O12" i="1" s="1"/>
  <c r="Z13" i="1"/>
  <c r="AB13" i="1"/>
  <c r="AD13" i="1"/>
  <c r="AE13" i="1"/>
  <c r="AF13" i="1"/>
  <c r="AG13" i="1"/>
  <c r="AH13" i="1"/>
  <c r="AJ13" i="1"/>
  <c r="AK13" i="1"/>
  <c r="AO13" i="1"/>
  <c r="J13" i="1" s="1"/>
  <c r="J12" i="1" s="1"/>
  <c r="AP13" i="1"/>
  <c r="AW13" i="1"/>
  <c r="BD13" i="1"/>
  <c r="BF13" i="1"/>
  <c r="BH13" i="1"/>
  <c r="BJ13" i="1"/>
  <c r="BW13" i="1"/>
  <c r="K14" i="1"/>
  <c r="K15" i="1"/>
  <c r="L15" i="1"/>
  <c r="O15" i="1"/>
  <c r="O14" i="1" s="1"/>
  <c r="Z15" i="1"/>
  <c r="AB15" i="1"/>
  <c r="AD15" i="1"/>
  <c r="AE15" i="1"/>
  <c r="AF15" i="1"/>
  <c r="AG15" i="1"/>
  <c r="AH15" i="1"/>
  <c r="AJ15" i="1"/>
  <c r="AS14" i="1" s="1"/>
  <c r="AK15" i="1"/>
  <c r="AT14" i="1" s="1"/>
  <c r="AO15" i="1"/>
  <c r="J15" i="1" s="1"/>
  <c r="J14" i="1" s="1"/>
  <c r="AP15" i="1"/>
  <c r="AX15" i="1" s="1"/>
  <c r="AV15" i="1"/>
  <c r="AW15" i="1"/>
  <c r="BC15" i="1"/>
  <c r="BD15" i="1"/>
  <c r="BF15" i="1"/>
  <c r="BH15" i="1"/>
  <c r="BI15" i="1"/>
  <c r="AC15" i="1" s="1"/>
  <c r="BJ15" i="1"/>
  <c r="BW15" i="1"/>
  <c r="AT16" i="1"/>
  <c r="L17" i="1"/>
  <c r="O17" i="1"/>
  <c r="O16" i="1" s="1"/>
  <c r="Z17" i="1"/>
  <c r="AB17" i="1"/>
  <c r="AD17" i="1"/>
  <c r="AE17" i="1"/>
  <c r="AF17" i="1"/>
  <c r="AG17" i="1"/>
  <c r="AH17" i="1"/>
  <c r="AJ17" i="1"/>
  <c r="AK17" i="1"/>
  <c r="AO17" i="1"/>
  <c r="J17" i="1" s="1"/>
  <c r="AP17" i="1"/>
  <c r="AW17" i="1"/>
  <c r="BD17" i="1"/>
  <c r="BF17" i="1"/>
  <c r="BH17" i="1"/>
  <c r="BJ17" i="1"/>
  <c r="BW17" i="1"/>
  <c r="K18" i="1"/>
  <c r="L18" i="1"/>
  <c r="O18" i="1"/>
  <c r="Z18" i="1"/>
  <c r="AB18" i="1"/>
  <c r="AD18" i="1"/>
  <c r="AE18" i="1"/>
  <c r="AF18" i="1"/>
  <c r="AG18" i="1"/>
  <c r="AH18" i="1"/>
  <c r="AJ18" i="1"/>
  <c r="AK18" i="1"/>
  <c r="AO18" i="1"/>
  <c r="J18" i="1" s="1"/>
  <c r="AP18" i="1"/>
  <c r="AX18" i="1" s="1"/>
  <c r="AV18" i="1"/>
  <c r="AW18" i="1"/>
  <c r="BC18" i="1"/>
  <c r="BD18" i="1"/>
  <c r="BF18" i="1"/>
  <c r="BH18" i="1"/>
  <c r="BI18" i="1"/>
  <c r="AC18" i="1" s="1"/>
  <c r="BJ18" i="1"/>
  <c r="BW18" i="1"/>
  <c r="L20" i="1"/>
  <c r="O20" i="1"/>
  <c r="O19" i="1" s="1"/>
  <c r="Z20" i="1"/>
  <c r="AB20" i="1"/>
  <c r="AD20" i="1"/>
  <c r="AE20" i="1"/>
  <c r="AF20" i="1"/>
  <c r="AG20" i="1"/>
  <c r="AH20" i="1"/>
  <c r="AJ20" i="1"/>
  <c r="AK20" i="1"/>
  <c r="AO20" i="1"/>
  <c r="J20" i="1" s="1"/>
  <c r="AP20" i="1"/>
  <c r="AW20" i="1"/>
  <c r="BD20" i="1"/>
  <c r="BF20" i="1"/>
  <c r="BH20" i="1"/>
  <c r="BJ20" i="1"/>
  <c r="BW20" i="1"/>
  <c r="K21" i="1"/>
  <c r="L21" i="1"/>
  <c r="O21" i="1"/>
  <c r="Z21" i="1"/>
  <c r="AB21" i="1"/>
  <c r="AD21" i="1"/>
  <c r="AE21" i="1"/>
  <c r="AF21" i="1"/>
  <c r="AG21" i="1"/>
  <c r="AH21" i="1"/>
  <c r="AJ21" i="1"/>
  <c r="AK21" i="1"/>
  <c r="AO21" i="1"/>
  <c r="J21" i="1" s="1"/>
  <c r="AP21" i="1"/>
  <c r="AX21" i="1" s="1"/>
  <c r="AV21" i="1"/>
  <c r="AW21" i="1"/>
  <c r="BC21" i="1"/>
  <c r="BD21" i="1"/>
  <c r="BF21" i="1"/>
  <c r="BH21" i="1"/>
  <c r="BI21" i="1"/>
  <c r="AC21" i="1" s="1"/>
  <c r="BJ21" i="1"/>
  <c r="BW21" i="1"/>
  <c r="L22" i="1"/>
  <c r="O22" i="1"/>
  <c r="Z22" i="1"/>
  <c r="AB22" i="1"/>
  <c r="AD22" i="1"/>
  <c r="AE22" i="1"/>
  <c r="AF22" i="1"/>
  <c r="AG22" i="1"/>
  <c r="AH22" i="1"/>
  <c r="AJ22" i="1"/>
  <c r="AK22" i="1"/>
  <c r="AT19" i="1" s="1"/>
  <c r="AO22" i="1"/>
  <c r="J22" i="1" s="1"/>
  <c r="AP22" i="1"/>
  <c r="AW22" i="1"/>
  <c r="BD22" i="1"/>
  <c r="BF22" i="1"/>
  <c r="BH22" i="1"/>
  <c r="BJ22" i="1"/>
  <c r="BW22" i="1"/>
  <c r="K24" i="1"/>
  <c r="L24" i="1"/>
  <c r="O24" i="1"/>
  <c r="O23" i="1" s="1"/>
  <c r="Z24" i="1"/>
  <c r="AB24" i="1"/>
  <c r="AD24" i="1"/>
  <c r="AE24" i="1"/>
  <c r="AF24" i="1"/>
  <c r="AG24" i="1"/>
  <c r="AH24" i="1"/>
  <c r="AJ24" i="1"/>
  <c r="AS23" i="1" s="1"/>
  <c r="AK24" i="1"/>
  <c r="AO24" i="1"/>
  <c r="J24" i="1" s="1"/>
  <c r="AP24" i="1"/>
  <c r="AX24" i="1" s="1"/>
  <c r="AV24" i="1"/>
  <c r="AW24" i="1"/>
  <c r="BC24" i="1"/>
  <c r="BD24" i="1"/>
  <c r="BF24" i="1"/>
  <c r="BH24" i="1"/>
  <c r="BI24" i="1"/>
  <c r="AC24" i="1" s="1"/>
  <c r="BJ24" i="1"/>
  <c r="BW24" i="1"/>
  <c r="L25" i="1"/>
  <c r="O25" i="1"/>
  <c r="Z25" i="1"/>
  <c r="AB25" i="1"/>
  <c r="AD25" i="1"/>
  <c r="AE25" i="1"/>
  <c r="AF25" i="1"/>
  <c r="AG25" i="1"/>
  <c r="AH25" i="1"/>
  <c r="AJ25" i="1"/>
  <c r="AK25" i="1"/>
  <c r="AO25" i="1"/>
  <c r="J25" i="1" s="1"/>
  <c r="AP25" i="1"/>
  <c r="AW25" i="1"/>
  <c r="BD25" i="1"/>
  <c r="BF25" i="1"/>
  <c r="BH25" i="1"/>
  <c r="BJ25" i="1"/>
  <c r="BW25" i="1"/>
  <c r="K26" i="1"/>
  <c r="L26" i="1"/>
  <c r="O26" i="1"/>
  <c r="Z26" i="1"/>
  <c r="AB26" i="1"/>
  <c r="AD26" i="1"/>
  <c r="AE26" i="1"/>
  <c r="AF26" i="1"/>
  <c r="AG26" i="1"/>
  <c r="AH26" i="1"/>
  <c r="AJ26" i="1"/>
  <c r="AK26" i="1"/>
  <c r="AO26" i="1"/>
  <c r="J26" i="1" s="1"/>
  <c r="AP26" i="1"/>
  <c r="AX26" i="1" s="1"/>
  <c r="AV26" i="1"/>
  <c r="AW26" i="1"/>
  <c r="BC26" i="1"/>
  <c r="BD26" i="1"/>
  <c r="BF26" i="1"/>
  <c r="BH26" i="1"/>
  <c r="BI26" i="1"/>
  <c r="AC26" i="1" s="1"/>
  <c r="BJ26" i="1"/>
  <c r="BW26" i="1"/>
  <c r="AT27" i="1"/>
  <c r="L28" i="1"/>
  <c r="O28" i="1"/>
  <c r="O27" i="1" s="1"/>
  <c r="Z28" i="1"/>
  <c r="AB28" i="1"/>
  <c r="AD28" i="1"/>
  <c r="AE28" i="1"/>
  <c r="AF28" i="1"/>
  <c r="AG28" i="1"/>
  <c r="AH28" i="1"/>
  <c r="AJ28" i="1"/>
  <c r="AK28" i="1"/>
  <c r="AO28" i="1"/>
  <c r="J28" i="1" s="1"/>
  <c r="AP28" i="1"/>
  <c r="AW28" i="1"/>
  <c r="BD28" i="1"/>
  <c r="BF28" i="1"/>
  <c r="BH28" i="1"/>
  <c r="BJ28" i="1"/>
  <c r="BW28" i="1"/>
  <c r="K29" i="1"/>
  <c r="L29" i="1"/>
  <c r="O29" i="1"/>
  <c r="Z29" i="1"/>
  <c r="AB29" i="1"/>
  <c r="AD29" i="1"/>
  <c r="AE29" i="1"/>
  <c r="AF29" i="1"/>
  <c r="AG29" i="1"/>
  <c r="AH29" i="1"/>
  <c r="AJ29" i="1"/>
  <c r="AK29" i="1"/>
  <c r="AO29" i="1"/>
  <c r="J29" i="1" s="1"/>
  <c r="AP29" i="1"/>
  <c r="AX29" i="1" s="1"/>
  <c r="AV29" i="1"/>
  <c r="AW29" i="1"/>
  <c r="BC29" i="1"/>
  <c r="BD29" i="1"/>
  <c r="BF29" i="1"/>
  <c r="BH29" i="1"/>
  <c r="BI29" i="1"/>
  <c r="AC29" i="1" s="1"/>
  <c r="BJ29" i="1"/>
  <c r="BW29" i="1"/>
  <c r="L30" i="1"/>
  <c r="O30" i="1"/>
  <c r="Z30" i="1"/>
  <c r="AB30" i="1"/>
  <c r="AD30" i="1"/>
  <c r="AE30" i="1"/>
  <c r="AF30" i="1"/>
  <c r="AG30" i="1"/>
  <c r="AH30" i="1"/>
  <c r="AJ30" i="1"/>
  <c r="AK30" i="1"/>
  <c r="AO30" i="1"/>
  <c r="J30" i="1" s="1"/>
  <c r="AP30" i="1"/>
  <c r="AW30" i="1"/>
  <c r="BD30" i="1"/>
  <c r="BF30" i="1"/>
  <c r="BH30" i="1"/>
  <c r="BJ30" i="1"/>
  <c r="BW30" i="1"/>
  <c r="K31" i="1"/>
  <c r="L31" i="1"/>
  <c r="O31" i="1"/>
  <c r="Z31" i="1"/>
  <c r="AB31" i="1"/>
  <c r="AD31" i="1"/>
  <c r="AE31" i="1"/>
  <c r="AF31" i="1"/>
  <c r="AG31" i="1"/>
  <c r="AH31" i="1"/>
  <c r="AJ31" i="1"/>
  <c r="AK31" i="1"/>
  <c r="AO31" i="1"/>
  <c r="J31" i="1" s="1"/>
  <c r="AP31" i="1"/>
  <c r="AX31" i="1" s="1"/>
  <c r="AV31" i="1"/>
  <c r="AW31" i="1"/>
  <c r="BC31" i="1"/>
  <c r="BD31" i="1"/>
  <c r="BF31" i="1"/>
  <c r="BH31" i="1"/>
  <c r="BI31" i="1"/>
  <c r="AC31" i="1" s="1"/>
  <c r="BJ31" i="1"/>
  <c r="BW31" i="1"/>
  <c r="L32" i="1"/>
  <c r="O32" i="1"/>
  <c r="Z32" i="1"/>
  <c r="AB32" i="1"/>
  <c r="AD32" i="1"/>
  <c r="AE32" i="1"/>
  <c r="AF32" i="1"/>
  <c r="AG32" i="1"/>
  <c r="AH32" i="1"/>
  <c r="AJ32" i="1"/>
  <c r="AK32" i="1"/>
  <c r="AO32" i="1"/>
  <c r="J32" i="1" s="1"/>
  <c r="AP32" i="1"/>
  <c r="AW32" i="1"/>
  <c r="BD32" i="1"/>
  <c r="BF32" i="1"/>
  <c r="BH32" i="1"/>
  <c r="BJ32" i="1"/>
  <c r="BW32" i="1"/>
  <c r="K33" i="1"/>
  <c r="L33" i="1"/>
  <c r="O33" i="1"/>
  <c r="Z33" i="1"/>
  <c r="AB33" i="1"/>
  <c r="AD33" i="1"/>
  <c r="AE33" i="1"/>
  <c r="AF33" i="1"/>
  <c r="AG33" i="1"/>
  <c r="AH33" i="1"/>
  <c r="AJ33" i="1"/>
  <c r="AK33" i="1"/>
  <c r="AO33" i="1"/>
  <c r="J33" i="1" s="1"/>
  <c r="AP33" i="1"/>
  <c r="AX33" i="1" s="1"/>
  <c r="AV33" i="1"/>
  <c r="AW33" i="1"/>
  <c r="BC33" i="1"/>
  <c r="BD33" i="1"/>
  <c r="BF33" i="1"/>
  <c r="BH33" i="1"/>
  <c r="BI33" i="1"/>
  <c r="AC33" i="1" s="1"/>
  <c r="BJ33" i="1"/>
  <c r="BW33" i="1"/>
  <c r="L34" i="1"/>
  <c r="O34" i="1"/>
  <c r="Z34" i="1"/>
  <c r="AB34" i="1"/>
  <c r="AD34" i="1"/>
  <c r="AE34" i="1"/>
  <c r="AF34" i="1"/>
  <c r="AG34" i="1"/>
  <c r="AH34" i="1"/>
  <c r="AJ34" i="1"/>
  <c r="AK34" i="1"/>
  <c r="AO34" i="1"/>
  <c r="J34" i="1" s="1"/>
  <c r="AP34" i="1"/>
  <c r="AW34" i="1"/>
  <c r="BD34" i="1"/>
  <c r="BF34" i="1"/>
  <c r="BH34" i="1"/>
  <c r="BJ34" i="1"/>
  <c r="BW34" i="1"/>
  <c r="AS35" i="1"/>
  <c r="K36" i="1"/>
  <c r="L36" i="1"/>
  <c r="O36" i="1"/>
  <c r="O35" i="1" s="1"/>
  <c r="Z36" i="1"/>
  <c r="AB36" i="1"/>
  <c r="AC36" i="1"/>
  <c r="AF36" i="1"/>
  <c r="AG36" i="1"/>
  <c r="AH36" i="1"/>
  <c r="AJ36" i="1"/>
  <c r="AK36" i="1"/>
  <c r="AO36" i="1"/>
  <c r="J36" i="1" s="1"/>
  <c r="J35" i="1" s="1"/>
  <c r="AP36" i="1"/>
  <c r="AX36" i="1" s="1"/>
  <c r="AV36" i="1"/>
  <c r="AW36" i="1"/>
  <c r="BC36" i="1"/>
  <c r="BD36" i="1"/>
  <c r="BF36" i="1"/>
  <c r="BH36" i="1"/>
  <c r="AD36" i="1" s="1"/>
  <c r="BI36" i="1"/>
  <c r="AE36" i="1" s="1"/>
  <c r="BJ36" i="1"/>
  <c r="BW36" i="1"/>
  <c r="K37" i="1"/>
  <c r="L37" i="1"/>
  <c r="O37" i="1"/>
  <c r="Z37" i="1"/>
  <c r="AB37" i="1"/>
  <c r="AC37" i="1"/>
  <c r="AF37" i="1"/>
  <c r="AG37" i="1"/>
  <c r="AH37" i="1"/>
  <c r="AJ37" i="1"/>
  <c r="AK37" i="1"/>
  <c r="AO37" i="1"/>
  <c r="J37" i="1" s="1"/>
  <c r="AP37" i="1"/>
  <c r="AX37" i="1" s="1"/>
  <c r="AV37" i="1"/>
  <c r="AW37" i="1"/>
  <c r="BC37" i="1"/>
  <c r="BD37" i="1"/>
  <c r="BF37" i="1"/>
  <c r="BH37" i="1"/>
  <c r="AD37" i="1" s="1"/>
  <c r="BI37" i="1"/>
  <c r="AE37" i="1" s="1"/>
  <c r="BJ37" i="1"/>
  <c r="BW37" i="1"/>
  <c r="L38" i="1"/>
  <c r="M38" i="1" s="1"/>
  <c r="O38" i="1"/>
  <c r="Z38" i="1"/>
  <c r="AB38" i="1"/>
  <c r="AC38" i="1"/>
  <c r="AF38" i="1"/>
  <c r="AG38" i="1"/>
  <c r="AH38" i="1"/>
  <c r="AJ38" i="1"/>
  <c r="AK38" i="1"/>
  <c r="AL38" i="1"/>
  <c r="AO38" i="1"/>
  <c r="J38" i="1" s="1"/>
  <c r="AP38" i="1"/>
  <c r="AW38" i="1"/>
  <c r="BD38" i="1"/>
  <c r="BF38" i="1"/>
  <c r="BH38" i="1"/>
  <c r="AD38" i="1" s="1"/>
  <c r="BJ38" i="1"/>
  <c r="BW38" i="1"/>
  <c r="K39" i="1"/>
  <c r="L39" i="1"/>
  <c r="O39" i="1"/>
  <c r="Z39" i="1"/>
  <c r="AB39" i="1"/>
  <c r="AC39" i="1"/>
  <c r="AF39" i="1"/>
  <c r="AG39" i="1"/>
  <c r="AH39" i="1"/>
  <c r="AJ39" i="1"/>
  <c r="AK39" i="1"/>
  <c r="AL39" i="1"/>
  <c r="AO39" i="1"/>
  <c r="J39" i="1" s="1"/>
  <c r="AP39" i="1"/>
  <c r="AX39" i="1" s="1"/>
  <c r="AV39" i="1"/>
  <c r="AW39" i="1"/>
  <c r="BC39" i="1"/>
  <c r="BD39" i="1"/>
  <c r="BF39" i="1"/>
  <c r="BH39" i="1"/>
  <c r="AD39" i="1" s="1"/>
  <c r="BI39" i="1"/>
  <c r="AE39" i="1" s="1"/>
  <c r="BJ39" i="1"/>
  <c r="BW39" i="1"/>
  <c r="M39" i="1" s="1"/>
  <c r="L40" i="1"/>
  <c r="M40" i="1" s="1"/>
  <c r="O40" i="1"/>
  <c r="Z40" i="1"/>
  <c r="AB40" i="1"/>
  <c r="AC40" i="1"/>
  <c r="AF40" i="1"/>
  <c r="AG40" i="1"/>
  <c r="AH40" i="1"/>
  <c r="AJ40" i="1"/>
  <c r="AK40" i="1"/>
  <c r="AO40" i="1"/>
  <c r="J40" i="1" s="1"/>
  <c r="AP40" i="1"/>
  <c r="AW40" i="1"/>
  <c r="BD40" i="1"/>
  <c r="BF40" i="1"/>
  <c r="BH40" i="1"/>
  <c r="AD40" i="1" s="1"/>
  <c r="BJ40" i="1"/>
  <c r="BW40" i="1"/>
  <c r="AT41" i="1"/>
  <c r="K42" i="1"/>
  <c r="L42" i="1"/>
  <c r="O42" i="1"/>
  <c r="O41" i="1" s="1"/>
  <c r="Z42" i="1"/>
  <c r="AB42" i="1"/>
  <c r="AC42" i="1"/>
  <c r="AF42" i="1"/>
  <c r="AG42" i="1"/>
  <c r="AH42" i="1"/>
  <c r="AJ42" i="1"/>
  <c r="AK42" i="1"/>
  <c r="AL42" i="1"/>
  <c r="AO42" i="1"/>
  <c r="J42" i="1" s="1"/>
  <c r="AP42" i="1"/>
  <c r="AX42" i="1" s="1"/>
  <c r="AV42" i="1"/>
  <c r="AW42" i="1"/>
  <c r="BC42" i="1"/>
  <c r="BD42" i="1"/>
  <c r="BF42" i="1"/>
  <c r="BH42" i="1"/>
  <c r="AD42" i="1" s="1"/>
  <c r="BI42" i="1"/>
  <c r="AE42" i="1" s="1"/>
  <c r="BJ42" i="1"/>
  <c r="BW42" i="1"/>
  <c r="M42" i="1" s="1"/>
  <c r="L43" i="1"/>
  <c r="AL43" i="1" s="1"/>
  <c r="AU41" i="1" s="1"/>
  <c r="O43" i="1"/>
  <c r="Z43" i="1"/>
  <c r="AB43" i="1"/>
  <c r="AC43" i="1"/>
  <c r="AF43" i="1"/>
  <c r="AG43" i="1"/>
  <c r="AH43" i="1"/>
  <c r="AJ43" i="1"/>
  <c r="AK43" i="1"/>
  <c r="AO43" i="1"/>
  <c r="J43" i="1" s="1"/>
  <c r="AP43" i="1"/>
  <c r="AW43" i="1"/>
  <c r="BD43" i="1"/>
  <c r="BF43" i="1"/>
  <c r="BH43" i="1"/>
  <c r="AD43" i="1" s="1"/>
  <c r="BJ43" i="1"/>
  <c r="BW43" i="1"/>
  <c r="K44" i="1"/>
  <c r="L44" i="1"/>
  <c r="O44" i="1"/>
  <c r="Z44" i="1"/>
  <c r="AB44" i="1"/>
  <c r="AC44" i="1"/>
  <c r="AF44" i="1"/>
  <c r="AG44" i="1"/>
  <c r="AH44" i="1"/>
  <c r="AJ44" i="1"/>
  <c r="AK44" i="1"/>
  <c r="AL44" i="1"/>
  <c r="AO44" i="1"/>
  <c r="J44" i="1" s="1"/>
  <c r="AP44" i="1"/>
  <c r="AX44" i="1" s="1"/>
  <c r="AV44" i="1"/>
  <c r="AW44" i="1"/>
  <c r="BC44" i="1"/>
  <c r="BD44" i="1"/>
  <c r="BF44" i="1"/>
  <c r="BH44" i="1"/>
  <c r="AD44" i="1" s="1"/>
  <c r="BI44" i="1"/>
  <c r="AE44" i="1" s="1"/>
  <c r="BJ44" i="1"/>
  <c r="BW44" i="1"/>
  <c r="M44" i="1" s="1"/>
  <c r="AT45" i="1"/>
  <c r="L46" i="1"/>
  <c r="O46" i="1"/>
  <c r="O45" i="1" s="1"/>
  <c r="Z46" i="1"/>
  <c r="AB46" i="1"/>
  <c r="AC46" i="1"/>
  <c r="AF46" i="1"/>
  <c r="AG46" i="1"/>
  <c r="AH46" i="1"/>
  <c r="AJ46" i="1"/>
  <c r="AS45" i="1" s="1"/>
  <c r="AK46" i="1"/>
  <c r="AO46" i="1"/>
  <c r="J46" i="1" s="1"/>
  <c r="AP46" i="1"/>
  <c r="AW46" i="1"/>
  <c r="BD46" i="1"/>
  <c r="BF46" i="1"/>
  <c r="BH46" i="1"/>
  <c r="AD46" i="1" s="1"/>
  <c r="BJ46" i="1"/>
  <c r="BW46" i="1"/>
  <c r="L47" i="1"/>
  <c r="O47" i="1"/>
  <c r="Z47" i="1"/>
  <c r="AB47" i="1"/>
  <c r="AC47" i="1"/>
  <c r="AF47" i="1"/>
  <c r="AG47" i="1"/>
  <c r="AH47" i="1"/>
  <c r="AJ47" i="1"/>
  <c r="AK47" i="1"/>
  <c r="AL47" i="1"/>
  <c r="AO47" i="1"/>
  <c r="J47" i="1" s="1"/>
  <c r="AP47" i="1"/>
  <c r="AW47" i="1"/>
  <c r="BD47" i="1"/>
  <c r="BF47" i="1"/>
  <c r="BH47" i="1"/>
  <c r="AD47" i="1" s="1"/>
  <c r="BJ47" i="1"/>
  <c r="BW47" i="1"/>
  <c r="M47" i="1" s="1"/>
  <c r="L48" i="1"/>
  <c r="O48" i="1"/>
  <c r="Z48" i="1"/>
  <c r="AB48" i="1"/>
  <c r="AC48" i="1"/>
  <c r="AF48" i="1"/>
  <c r="AG48" i="1"/>
  <c r="AH48" i="1"/>
  <c r="AJ48" i="1"/>
  <c r="AK48" i="1"/>
  <c r="AL48" i="1"/>
  <c r="AO48" i="1"/>
  <c r="J48" i="1" s="1"/>
  <c r="AP48" i="1"/>
  <c r="AW48" i="1"/>
  <c r="BD48" i="1"/>
  <c r="BF48" i="1"/>
  <c r="BH48" i="1"/>
  <c r="AD48" i="1" s="1"/>
  <c r="BI48" i="1"/>
  <c r="AE48" i="1" s="1"/>
  <c r="BJ48" i="1"/>
  <c r="BW48" i="1"/>
  <c r="M48" i="1" s="1"/>
  <c r="L49" i="1"/>
  <c r="M49" i="1"/>
  <c r="O49" i="1"/>
  <c r="Z49" i="1"/>
  <c r="AB49" i="1"/>
  <c r="AC49" i="1"/>
  <c r="AF49" i="1"/>
  <c r="AG49" i="1"/>
  <c r="AH49" i="1"/>
  <c r="AJ49" i="1"/>
  <c r="AK49" i="1"/>
  <c r="AL49" i="1"/>
  <c r="AO49" i="1"/>
  <c r="J49" i="1" s="1"/>
  <c r="AP49" i="1"/>
  <c r="AW49" i="1"/>
  <c r="BD49" i="1"/>
  <c r="BF49" i="1"/>
  <c r="BH49" i="1"/>
  <c r="AD49" i="1" s="1"/>
  <c r="BI49" i="1"/>
  <c r="AE49" i="1" s="1"/>
  <c r="BJ49" i="1"/>
  <c r="BW49" i="1"/>
  <c r="L50" i="1"/>
  <c r="O50" i="1"/>
  <c r="Z50" i="1"/>
  <c r="AB50" i="1"/>
  <c r="AC50" i="1"/>
  <c r="AF50" i="1"/>
  <c r="AG50" i="1"/>
  <c r="AH50" i="1"/>
  <c r="AJ50" i="1"/>
  <c r="AK50" i="1"/>
  <c r="AL50" i="1"/>
  <c r="AO50" i="1"/>
  <c r="J50" i="1" s="1"/>
  <c r="AP50" i="1"/>
  <c r="BI50" i="1" s="1"/>
  <c r="AE50" i="1" s="1"/>
  <c r="AW50" i="1"/>
  <c r="BD50" i="1"/>
  <c r="BF50" i="1"/>
  <c r="BH50" i="1"/>
  <c r="AD50" i="1" s="1"/>
  <c r="BJ50" i="1"/>
  <c r="BW50" i="1"/>
  <c r="M50" i="1" s="1"/>
  <c r="L52" i="1"/>
  <c r="L51" i="1" s="1"/>
  <c r="O52" i="1"/>
  <c r="O51" i="1" s="1"/>
  <c r="Z52" i="1"/>
  <c r="AB52" i="1"/>
  <c r="AC52" i="1"/>
  <c r="AF52" i="1"/>
  <c r="AG52" i="1"/>
  <c r="AH52" i="1"/>
  <c r="AJ52" i="1"/>
  <c r="AS51" i="1" s="1"/>
  <c r="AK52" i="1"/>
  <c r="AT51" i="1" s="1"/>
  <c r="AL52" i="1"/>
  <c r="AU51" i="1" s="1"/>
  <c r="AO52" i="1"/>
  <c r="J52" i="1" s="1"/>
  <c r="J51" i="1" s="1"/>
  <c r="AP52" i="1"/>
  <c r="AW52" i="1"/>
  <c r="BD52" i="1"/>
  <c r="BF52" i="1"/>
  <c r="BH52" i="1"/>
  <c r="AD52" i="1" s="1"/>
  <c r="BI52" i="1"/>
  <c r="AE52" i="1" s="1"/>
  <c r="BJ52" i="1"/>
  <c r="BW52" i="1"/>
  <c r="M52" i="1" s="1"/>
  <c r="M51" i="1" s="1"/>
  <c r="L54" i="1"/>
  <c r="L53" i="1" s="1"/>
  <c r="O54" i="1"/>
  <c r="Z54" i="1"/>
  <c r="AB54" i="1"/>
  <c r="AC54" i="1"/>
  <c r="AF54" i="1"/>
  <c r="AG54" i="1"/>
  <c r="AH54" i="1"/>
  <c r="AJ54" i="1"/>
  <c r="AS53" i="1" s="1"/>
  <c r="AK54" i="1"/>
  <c r="AT53" i="1" s="1"/>
  <c r="AL54" i="1"/>
  <c r="AU53" i="1" s="1"/>
  <c r="AO54" i="1"/>
  <c r="J54" i="1" s="1"/>
  <c r="AP54" i="1"/>
  <c r="BI54" i="1" s="1"/>
  <c r="AE54" i="1" s="1"/>
  <c r="AW54" i="1"/>
  <c r="BD54" i="1"/>
  <c r="BF54" i="1"/>
  <c r="BH54" i="1"/>
  <c r="AD54" i="1" s="1"/>
  <c r="BJ54" i="1"/>
  <c r="BW54" i="1"/>
  <c r="M54" i="1" s="1"/>
  <c r="L55" i="1"/>
  <c r="O55" i="1"/>
  <c r="Z55" i="1"/>
  <c r="AB55" i="1"/>
  <c r="AC55" i="1"/>
  <c r="AF55" i="1"/>
  <c r="AG55" i="1"/>
  <c r="AH55" i="1"/>
  <c r="AJ55" i="1"/>
  <c r="AK55" i="1"/>
  <c r="AL55" i="1"/>
  <c r="AO55" i="1"/>
  <c r="J55" i="1" s="1"/>
  <c r="AP55" i="1"/>
  <c r="AW55" i="1"/>
  <c r="BD55" i="1"/>
  <c r="BF55" i="1"/>
  <c r="BH55" i="1"/>
  <c r="AD55" i="1" s="1"/>
  <c r="BJ55" i="1"/>
  <c r="BW55" i="1"/>
  <c r="M55" i="1" s="1"/>
  <c r="L56" i="1"/>
  <c r="O56" i="1"/>
  <c r="Z56" i="1"/>
  <c r="AB56" i="1"/>
  <c r="AC56" i="1"/>
  <c r="AF56" i="1"/>
  <c r="AG56" i="1"/>
  <c r="AH56" i="1"/>
  <c r="AJ56" i="1"/>
  <c r="AK56" i="1"/>
  <c r="AL56" i="1"/>
  <c r="AO56" i="1"/>
  <c r="J56" i="1" s="1"/>
  <c r="AP56" i="1"/>
  <c r="AW56" i="1"/>
  <c r="BD56" i="1"/>
  <c r="BF56" i="1"/>
  <c r="BH56" i="1"/>
  <c r="AD56" i="1" s="1"/>
  <c r="BI56" i="1"/>
  <c r="AE56" i="1" s="1"/>
  <c r="BJ56" i="1"/>
  <c r="BW56" i="1"/>
  <c r="M56" i="1" s="1"/>
  <c r="L57" i="1"/>
  <c r="M57" i="1"/>
  <c r="O57" i="1"/>
  <c r="Z57" i="1"/>
  <c r="AB57" i="1"/>
  <c r="AC57" i="1"/>
  <c r="AF57" i="1"/>
  <c r="AG57" i="1"/>
  <c r="AH57" i="1"/>
  <c r="AJ57" i="1"/>
  <c r="AK57" i="1"/>
  <c r="AL57" i="1"/>
  <c r="AO57" i="1"/>
  <c r="J57" i="1" s="1"/>
  <c r="AP57" i="1"/>
  <c r="AW57" i="1"/>
  <c r="BD57" i="1"/>
  <c r="BF57" i="1"/>
  <c r="BH57" i="1"/>
  <c r="AD57" i="1" s="1"/>
  <c r="BI57" i="1"/>
  <c r="AE57" i="1" s="1"/>
  <c r="BJ57" i="1"/>
  <c r="BW57" i="1"/>
  <c r="K58" i="1"/>
  <c r="L58" i="1"/>
  <c r="O58" i="1"/>
  <c r="Z58" i="1"/>
  <c r="AB58" i="1"/>
  <c r="AC58" i="1"/>
  <c r="AF58" i="1"/>
  <c r="AG58" i="1"/>
  <c r="AH58" i="1"/>
  <c r="AJ58" i="1"/>
  <c r="AK58" i="1"/>
  <c r="AL58" i="1"/>
  <c r="AO58" i="1"/>
  <c r="J58" i="1" s="1"/>
  <c r="AP58" i="1"/>
  <c r="BI58" i="1" s="1"/>
  <c r="AE58" i="1" s="1"/>
  <c r="AW58" i="1"/>
  <c r="AX58" i="1"/>
  <c r="BD58" i="1"/>
  <c r="BF58" i="1"/>
  <c r="BH58" i="1"/>
  <c r="AD58" i="1" s="1"/>
  <c r="BJ58" i="1"/>
  <c r="BW58" i="1"/>
  <c r="M58" i="1" s="1"/>
  <c r="L59" i="1"/>
  <c r="M59" i="1"/>
  <c r="O59" i="1"/>
  <c r="BF59" i="1" s="1"/>
  <c r="Z59" i="1"/>
  <c r="AB59" i="1"/>
  <c r="AC59" i="1"/>
  <c r="AF59" i="1"/>
  <c r="AG59" i="1"/>
  <c r="AH59" i="1"/>
  <c r="AJ59" i="1"/>
  <c r="AK59" i="1"/>
  <c r="AL59" i="1"/>
  <c r="AO59" i="1"/>
  <c r="J59" i="1" s="1"/>
  <c r="AP59" i="1"/>
  <c r="K59" i="1" s="1"/>
  <c r="AX59" i="1"/>
  <c r="BD59" i="1"/>
  <c r="BI59" i="1"/>
  <c r="AE59" i="1" s="1"/>
  <c r="BJ59" i="1"/>
  <c r="BW59" i="1"/>
  <c r="L60" i="1"/>
  <c r="M60" i="1"/>
  <c r="O60" i="1"/>
  <c r="BF60" i="1" s="1"/>
  <c r="Z60" i="1"/>
  <c r="AB60" i="1"/>
  <c r="AC60" i="1"/>
  <c r="AF60" i="1"/>
  <c r="AG60" i="1"/>
  <c r="AH60" i="1"/>
  <c r="AJ60" i="1"/>
  <c r="AK60" i="1"/>
  <c r="AL60" i="1"/>
  <c r="AO60" i="1"/>
  <c r="AW60" i="1" s="1"/>
  <c r="AP60" i="1"/>
  <c r="K60" i="1" s="1"/>
  <c r="AX60" i="1"/>
  <c r="BD60" i="1"/>
  <c r="BH60" i="1"/>
  <c r="AD60" i="1" s="1"/>
  <c r="BI60" i="1"/>
  <c r="AE60" i="1" s="1"/>
  <c r="BJ60" i="1"/>
  <c r="BW60" i="1"/>
  <c r="J61" i="1"/>
  <c r="K61" i="1"/>
  <c r="L61" i="1"/>
  <c r="O61" i="1"/>
  <c r="Z61" i="1"/>
  <c r="AB61" i="1"/>
  <c r="AC61" i="1"/>
  <c r="AF61" i="1"/>
  <c r="AG61" i="1"/>
  <c r="AH61" i="1"/>
  <c r="AJ61" i="1"/>
  <c r="AK61" i="1"/>
  <c r="AL61" i="1"/>
  <c r="AO61" i="1"/>
  <c r="BH61" i="1" s="1"/>
  <c r="AD61" i="1" s="1"/>
  <c r="AP61" i="1"/>
  <c r="AX61" i="1" s="1"/>
  <c r="AW61" i="1"/>
  <c r="AV61" i="1" s="1"/>
  <c r="BD61" i="1"/>
  <c r="BF61" i="1"/>
  <c r="BI61" i="1"/>
  <c r="AE61" i="1" s="1"/>
  <c r="BJ61" i="1"/>
  <c r="BW61" i="1"/>
  <c r="M61" i="1" s="1"/>
  <c r="M62" i="1"/>
  <c r="AU62" i="1"/>
  <c r="J63" i="1"/>
  <c r="J62" i="1" s="1"/>
  <c r="K63" i="1"/>
  <c r="K62" i="1" s="1"/>
  <c r="L63" i="1"/>
  <c r="L62" i="1" s="1"/>
  <c r="M63" i="1"/>
  <c r="O63" i="1"/>
  <c r="O62" i="1" s="1"/>
  <c r="Z63" i="1"/>
  <c r="AD63" i="1"/>
  <c r="AE63" i="1"/>
  <c r="AF63" i="1"/>
  <c r="AG63" i="1"/>
  <c r="AH63" i="1"/>
  <c r="AJ63" i="1"/>
  <c r="AS62" i="1" s="1"/>
  <c r="AK63" i="1"/>
  <c r="AT62" i="1" s="1"/>
  <c r="AL63" i="1"/>
  <c r="AO63" i="1"/>
  <c r="BH63" i="1" s="1"/>
  <c r="AB63" i="1" s="1"/>
  <c r="AP63" i="1"/>
  <c r="AX63" i="1" s="1"/>
  <c r="AW63" i="1"/>
  <c r="AV63" i="1" s="1"/>
  <c r="BC63" i="1"/>
  <c r="BD63" i="1"/>
  <c r="BI63" i="1"/>
  <c r="AC63" i="1" s="1"/>
  <c r="BJ63" i="1"/>
  <c r="BW63" i="1"/>
  <c r="O64" i="1"/>
  <c r="AU64" i="1"/>
  <c r="K65" i="1"/>
  <c r="K64" i="1" s="1"/>
  <c r="L65" i="1"/>
  <c r="L64" i="1" s="1"/>
  <c r="O65" i="1"/>
  <c r="BF65" i="1" s="1"/>
  <c r="Z65" i="1"/>
  <c r="AD65" i="1"/>
  <c r="AE65" i="1"/>
  <c r="AF65" i="1"/>
  <c r="AG65" i="1"/>
  <c r="AH65" i="1"/>
  <c r="AJ65" i="1"/>
  <c r="AS64" i="1" s="1"/>
  <c r="AK65" i="1"/>
  <c r="AT64" i="1" s="1"/>
  <c r="AL65" i="1"/>
  <c r="AO65" i="1"/>
  <c r="BH65" i="1" s="1"/>
  <c r="AB65" i="1" s="1"/>
  <c r="AP65" i="1"/>
  <c r="AX65" i="1" s="1"/>
  <c r="BD65" i="1"/>
  <c r="BI65" i="1"/>
  <c r="AC65" i="1" s="1"/>
  <c r="BJ65" i="1"/>
  <c r="BW65" i="1"/>
  <c r="M65" i="1" s="1"/>
  <c r="M64" i="1" s="1"/>
  <c r="O66" i="1"/>
  <c r="AU66" i="1"/>
  <c r="L67" i="1"/>
  <c r="L66" i="1" s="1"/>
  <c r="M67" i="1"/>
  <c r="M66" i="1" s="1"/>
  <c r="O67" i="1"/>
  <c r="Z67" i="1"/>
  <c r="AD67" i="1"/>
  <c r="AE67" i="1"/>
  <c r="AF67" i="1"/>
  <c r="AG67" i="1"/>
  <c r="AH67" i="1"/>
  <c r="AJ67" i="1"/>
  <c r="AS66" i="1" s="1"/>
  <c r="AK67" i="1"/>
  <c r="AT66" i="1" s="1"/>
  <c r="AL67" i="1"/>
  <c r="AO67" i="1"/>
  <c r="BH67" i="1" s="1"/>
  <c r="AB67" i="1" s="1"/>
  <c r="AP67" i="1"/>
  <c r="AX67" i="1" s="1"/>
  <c r="BD67" i="1"/>
  <c r="BF67" i="1"/>
  <c r="BJ67" i="1"/>
  <c r="BW67" i="1"/>
  <c r="AU68" i="1"/>
  <c r="J69" i="1"/>
  <c r="J68" i="1" s="1"/>
  <c r="L69" i="1"/>
  <c r="L68" i="1" s="1"/>
  <c r="M69" i="1"/>
  <c r="M68" i="1" s="1"/>
  <c r="O69" i="1"/>
  <c r="BF69" i="1" s="1"/>
  <c r="Z69" i="1"/>
  <c r="AD69" i="1"/>
  <c r="AE69" i="1"/>
  <c r="AF69" i="1"/>
  <c r="AG69" i="1"/>
  <c r="AH69" i="1"/>
  <c r="AJ69" i="1"/>
  <c r="AS68" i="1" s="1"/>
  <c r="AK69" i="1"/>
  <c r="AT68" i="1" s="1"/>
  <c r="AL69" i="1"/>
  <c r="AO69" i="1"/>
  <c r="BH69" i="1" s="1"/>
  <c r="AB69" i="1" s="1"/>
  <c r="AP69" i="1"/>
  <c r="AX69" i="1" s="1"/>
  <c r="AW69" i="1"/>
  <c r="AV69" i="1" s="1"/>
  <c r="BD69" i="1"/>
  <c r="BI69" i="1"/>
  <c r="AC69" i="1" s="1"/>
  <c r="BJ69" i="1"/>
  <c r="BW69" i="1"/>
  <c r="J71" i="1"/>
  <c r="K71" i="1"/>
  <c r="K70" i="1" s="1"/>
  <c r="L71" i="1"/>
  <c r="L70" i="1" s="1"/>
  <c r="M71" i="1"/>
  <c r="O71" i="1"/>
  <c r="O70" i="1" s="1"/>
  <c r="Z71" i="1"/>
  <c r="AD71" i="1"/>
  <c r="AE71" i="1"/>
  <c r="AF71" i="1"/>
  <c r="AG71" i="1"/>
  <c r="AH71" i="1"/>
  <c r="AJ71" i="1"/>
  <c r="AS70" i="1" s="1"/>
  <c r="AK71" i="1"/>
  <c r="AT70" i="1" s="1"/>
  <c r="AL71" i="1"/>
  <c r="AO71" i="1"/>
  <c r="BH71" i="1" s="1"/>
  <c r="AB71" i="1" s="1"/>
  <c r="AP71" i="1"/>
  <c r="AX71" i="1" s="1"/>
  <c r="AW71" i="1"/>
  <c r="AV71" i="1" s="1"/>
  <c r="BC71" i="1"/>
  <c r="BD71" i="1"/>
  <c r="BI71" i="1"/>
  <c r="AC71" i="1" s="1"/>
  <c r="BJ71" i="1"/>
  <c r="BW71" i="1"/>
  <c r="K72" i="1"/>
  <c r="L72" i="1"/>
  <c r="M72" i="1"/>
  <c r="M70" i="1" s="1"/>
  <c r="O72" i="1"/>
  <c r="Z72" i="1"/>
  <c r="AD72" i="1"/>
  <c r="AE72" i="1"/>
  <c r="AF72" i="1"/>
  <c r="AG72" i="1"/>
  <c r="AH72" i="1"/>
  <c r="AJ72" i="1"/>
  <c r="AK72" i="1"/>
  <c r="AL72" i="1"/>
  <c r="AU70" i="1" s="1"/>
  <c r="AO72" i="1"/>
  <c r="J72" i="1" s="1"/>
  <c r="AP72" i="1"/>
  <c r="AX72" i="1"/>
  <c r="BD72" i="1"/>
  <c r="BF72" i="1"/>
  <c r="BI72" i="1"/>
  <c r="AC72" i="1" s="1"/>
  <c r="BJ72" i="1"/>
  <c r="BW72" i="1"/>
  <c r="AU73" i="1"/>
  <c r="K74" i="1"/>
  <c r="L74" i="1"/>
  <c r="L73" i="1" s="1"/>
  <c r="M74" i="1"/>
  <c r="O74" i="1"/>
  <c r="Z74" i="1"/>
  <c r="AD74" i="1"/>
  <c r="AE74" i="1"/>
  <c r="AF74" i="1"/>
  <c r="AG74" i="1"/>
  <c r="AH74" i="1"/>
  <c r="AJ74" i="1"/>
  <c r="AK74" i="1"/>
  <c r="AT73" i="1" s="1"/>
  <c r="AL74" i="1"/>
  <c r="AO74" i="1"/>
  <c r="J74" i="1" s="1"/>
  <c r="J73" i="1" s="1"/>
  <c r="AP74" i="1"/>
  <c r="AX74" i="1"/>
  <c r="BD74" i="1"/>
  <c r="BF74" i="1"/>
  <c r="BI74" i="1"/>
  <c r="AC74" i="1" s="1"/>
  <c r="BJ74" i="1"/>
  <c r="BW74" i="1"/>
  <c r="J75" i="1"/>
  <c r="K75" i="1"/>
  <c r="K73" i="1" s="1"/>
  <c r="L75" i="1"/>
  <c r="O75" i="1"/>
  <c r="O73" i="1" s="1"/>
  <c r="Z75" i="1"/>
  <c r="AD75" i="1"/>
  <c r="AE75" i="1"/>
  <c r="AF75" i="1"/>
  <c r="AG75" i="1"/>
  <c r="AH75" i="1"/>
  <c r="AJ75" i="1"/>
  <c r="AS73" i="1" s="1"/>
  <c r="AK75" i="1"/>
  <c r="AL75" i="1"/>
  <c r="AO75" i="1"/>
  <c r="BH75" i="1" s="1"/>
  <c r="AB75" i="1" s="1"/>
  <c r="AP75" i="1"/>
  <c r="AX75" i="1" s="1"/>
  <c r="AW75" i="1"/>
  <c r="BD75" i="1"/>
  <c r="BF75" i="1"/>
  <c r="BJ75" i="1"/>
  <c r="BW75" i="1"/>
  <c r="M75" i="1" s="1"/>
  <c r="K76" i="1"/>
  <c r="L76" i="1"/>
  <c r="M76" i="1"/>
  <c r="O76" i="1"/>
  <c r="Z76" i="1"/>
  <c r="AD76" i="1"/>
  <c r="AE76" i="1"/>
  <c r="AF76" i="1"/>
  <c r="AG76" i="1"/>
  <c r="AH76" i="1"/>
  <c r="AJ76" i="1"/>
  <c r="AK76" i="1"/>
  <c r="AL76" i="1"/>
  <c r="AO76" i="1"/>
  <c r="J76" i="1" s="1"/>
  <c r="AP76" i="1"/>
  <c r="AX76" i="1"/>
  <c r="BD76" i="1"/>
  <c r="BF76" i="1"/>
  <c r="BI76" i="1"/>
  <c r="AC76" i="1" s="1"/>
  <c r="BJ76" i="1"/>
  <c r="BW76" i="1"/>
  <c r="O77" i="1"/>
  <c r="AS77" i="1"/>
  <c r="L78" i="1"/>
  <c r="L77" i="1" s="1"/>
  <c r="M78" i="1"/>
  <c r="M77" i="1" s="1"/>
  <c r="O78" i="1"/>
  <c r="AB78" i="1"/>
  <c r="AC78" i="1"/>
  <c r="AD78" i="1"/>
  <c r="AE78" i="1"/>
  <c r="AF78" i="1"/>
  <c r="AG78" i="1"/>
  <c r="AH78" i="1"/>
  <c r="AJ78" i="1"/>
  <c r="AK78" i="1"/>
  <c r="AT77" i="1" s="1"/>
  <c r="AL78" i="1"/>
  <c r="AU77" i="1" s="1"/>
  <c r="AO78" i="1"/>
  <c r="J78" i="1" s="1"/>
  <c r="J77" i="1" s="1"/>
  <c r="AP78" i="1"/>
  <c r="BI78" i="1" s="1"/>
  <c r="AW78" i="1"/>
  <c r="AX78" i="1"/>
  <c r="BD78" i="1"/>
  <c r="BF78" i="1"/>
  <c r="BH78" i="1"/>
  <c r="BJ78" i="1"/>
  <c r="Z78" i="1" s="1"/>
  <c r="BW78" i="1"/>
  <c r="L80" i="1"/>
  <c r="L79" i="1" s="1"/>
  <c r="O80" i="1"/>
  <c r="BF80" i="1" s="1"/>
  <c r="AB80" i="1"/>
  <c r="AC80" i="1"/>
  <c r="AD80" i="1"/>
  <c r="AE80" i="1"/>
  <c r="AF80" i="1"/>
  <c r="AG80" i="1"/>
  <c r="AH80" i="1"/>
  <c r="AJ80" i="1"/>
  <c r="AS79" i="1" s="1"/>
  <c r="AK80" i="1"/>
  <c r="AT79" i="1" s="1"/>
  <c r="AL80" i="1"/>
  <c r="AU79" i="1" s="1"/>
  <c r="AO80" i="1"/>
  <c r="AW80" i="1" s="1"/>
  <c r="AP80" i="1"/>
  <c r="K80" i="1" s="1"/>
  <c r="K79" i="1" s="1"/>
  <c r="AX80" i="1"/>
  <c r="BD80" i="1"/>
  <c r="BH80" i="1"/>
  <c r="BI80" i="1"/>
  <c r="BJ80" i="1"/>
  <c r="Z80" i="1" s="1"/>
  <c r="BW80" i="1"/>
  <c r="M80" i="1" s="1"/>
  <c r="M79" i="1" s="1"/>
  <c r="L82" i="1"/>
  <c r="L81" i="1" s="1"/>
  <c r="O82" i="1"/>
  <c r="BF82" i="1" s="1"/>
  <c r="AB82" i="1"/>
  <c r="AC82" i="1"/>
  <c r="AD82" i="1"/>
  <c r="AE82" i="1"/>
  <c r="AF82" i="1"/>
  <c r="AG82" i="1"/>
  <c r="AH82" i="1"/>
  <c r="AJ82" i="1"/>
  <c r="AS81" i="1" s="1"/>
  <c r="AK82" i="1"/>
  <c r="AT81" i="1" s="1"/>
  <c r="AL82" i="1"/>
  <c r="AU81" i="1" s="1"/>
  <c r="AO82" i="1"/>
  <c r="J82" i="1" s="1"/>
  <c r="J81" i="1" s="1"/>
  <c r="AP82" i="1"/>
  <c r="K82" i="1" s="1"/>
  <c r="K81" i="1" s="1"/>
  <c r="AX82" i="1"/>
  <c r="BD82" i="1"/>
  <c r="BH82" i="1"/>
  <c r="BI82" i="1"/>
  <c r="BJ82" i="1"/>
  <c r="Z82" i="1" s="1"/>
  <c r="BW82" i="1"/>
  <c r="M82" i="1" s="1"/>
  <c r="M81" i="1" s="1"/>
  <c r="L84" i="1"/>
  <c r="L83" i="1" s="1"/>
  <c r="O84" i="1"/>
  <c r="BF84" i="1" s="1"/>
  <c r="Z84" i="1"/>
  <c r="AB84" i="1"/>
  <c r="AC84" i="1"/>
  <c r="AD84" i="1"/>
  <c r="AE84" i="1"/>
  <c r="AG84" i="1"/>
  <c r="AH84" i="1"/>
  <c r="AJ84" i="1"/>
  <c r="AS83" i="1" s="1"/>
  <c r="AK84" i="1"/>
  <c r="AT83" i="1" s="1"/>
  <c r="AL84" i="1"/>
  <c r="AU83" i="1" s="1"/>
  <c r="AO84" i="1"/>
  <c r="J84" i="1" s="1"/>
  <c r="J83" i="1" s="1"/>
  <c r="AP84" i="1"/>
  <c r="K84" i="1" s="1"/>
  <c r="K83" i="1" s="1"/>
  <c r="AX84" i="1"/>
  <c r="BD84" i="1"/>
  <c r="BH84" i="1"/>
  <c r="AF84" i="1" s="1"/>
  <c r="BI84" i="1"/>
  <c r="BJ84" i="1"/>
  <c r="BW84" i="1"/>
  <c r="M84" i="1" s="1"/>
  <c r="M83" i="1" s="1"/>
  <c r="L86" i="1"/>
  <c r="L85" i="1" s="1"/>
  <c r="O86" i="1"/>
  <c r="BF86" i="1" s="1"/>
  <c r="Z86" i="1"/>
  <c r="AB86" i="1"/>
  <c r="AC86" i="1"/>
  <c r="AD86" i="1"/>
  <c r="AE86" i="1"/>
  <c r="AG86" i="1"/>
  <c r="AH86" i="1"/>
  <c r="AJ86" i="1"/>
  <c r="AS85" i="1" s="1"/>
  <c r="AK86" i="1"/>
  <c r="AT85" i="1" s="1"/>
  <c r="AL86" i="1"/>
  <c r="AU85" i="1" s="1"/>
  <c r="AO86" i="1"/>
  <c r="J86" i="1" s="1"/>
  <c r="AP86" i="1"/>
  <c r="K86" i="1" s="1"/>
  <c r="AX86" i="1"/>
  <c r="BD86" i="1"/>
  <c r="BH86" i="1"/>
  <c r="AF86" i="1" s="1"/>
  <c r="BI86" i="1"/>
  <c r="BJ86" i="1"/>
  <c r="BW86" i="1"/>
  <c r="M86" i="1" s="1"/>
  <c r="L87" i="1"/>
  <c r="O87" i="1"/>
  <c r="BF87" i="1" s="1"/>
  <c r="Z87" i="1"/>
  <c r="AB87" i="1"/>
  <c r="AC87" i="1"/>
  <c r="AD87" i="1"/>
  <c r="AE87" i="1"/>
  <c r="AG87" i="1"/>
  <c r="AH87" i="1"/>
  <c r="AJ87" i="1"/>
  <c r="AK87" i="1"/>
  <c r="AL87" i="1"/>
  <c r="AO87" i="1"/>
  <c r="AW87" i="1" s="1"/>
  <c r="AP87" i="1"/>
  <c r="K87" i="1" s="1"/>
  <c r="AX87" i="1"/>
  <c r="BD87" i="1"/>
  <c r="BH87" i="1"/>
  <c r="AF87" i="1" s="1"/>
  <c r="BI87" i="1"/>
  <c r="BJ87" i="1"/>
  <c r="BW87" i="1"/>
  <c r="M87" i="1" s="1"/>
  <c r="L88" i="1"/>
  <c r="O88" i="1"/>
  <c r="BF88" i="1" s="1"/>
  <c r="Z88" i="1"/>
  <c r="AB88" i="1"/>
  <c r="AC88" i="1"/>
  <c r="AD88" i="1"/>
  <c r="AE88" i="1"/>
  <c r="AG88" i="1"/>
  <c r="AH88" i="1"/>
  <c r="AJ88" i="1"/>
  <c r="AK88" i="1"/>
  <c r="AL88" i="1"/>
  <c r="AO88" i="1"/>
  <c r="AW88" i="1" s="1"/>
  <c r="AP88" i="1"/>
  <c r="K88" i="1" s="1"/>
  <c r="AX88" i="1"/>
  <c r="BD88" i="1"/>
  <c r="BH88" i="1"/>
  <c r="AF88" i="1" s="1"/>
  <c r="BI88" i="1"/>
  <c r="BJ88" i="1"/>
  <c r="BW88" i="1"/>
  <c r="M88" i="1" s="1"/>
  <c r="L89" i="1"/>
  <c r="O89" i="1"/>
  <c r="BF89" i="1" s="1"/>
  <c r="Z89" i="1"/>
  <c r="AB89" i="1"/>
  <c r="AC89" i="1"/>
  <c r="AD89" i="1"/>
  <c r="AE89" i="1"/>
  <c r="AG89" i="1"/>
  <c r="AH89" i="1"/>
  <c r="AJ89" i="1"/>
  <c r="AK89" i="1"/>
  <c r="AL89" i="1"/>
  <c r="AO89" i="1"/>
  <c r="AW89" i="1" s="1"/>
  <c r="AP89" i="1"/>
  <c r="K89" i="1" s="1"/>
  <c r="AX89" i="1"/>
  <c r="BD89" i="1"/>
  <c r="BH89" i="1"/>
  <c r="AF89" i="1" s="1"/>
  <c r="BI89" i="1"/>
  <c r="BJ89" i="1"/>
  <c r="BW89" i="1"/>
  <c r="M89" i="1" s="1"/>
  <c r="L90" i="1"/>
  <c r="O90" i="1"/>
  <c r="BF90" i="1" s="1"/>
  <c r="Z90" i="1"/>
  <c r="AB90" i="1"/>
  <c r="AC90" i="1"/>
  <c r="AD90" i="1"/>
  <c r="AE90" i="1"/>
  <c r="AG90" i="1"/>
  <c r="AH90" i="1"/>
  <c r="AJ90" i="1"/>
  <c r="AK90" i="1"/>
  <c r="AL90" i="1"/>
  <c r="AO90" i="1"/>
  <c r="AW90" i="1" s="1"/>
  <c r="AP90" i="1"/>
  <c r="K90" i="1" s="1"/>
  <c r="AX90" i="1"/>
  <c r="BD90" i="1"/>
  <c r="BH90" i="1"/>
  <c r="AF90" i="1" s="1"/>
  <c r="BI90" i="1"/>
  <c r="BJ90" i="1"/>
  <c r="BW90" i="1"/>
  <c r="M90" i="1" s="1"/>
  <c r="L92" i="1"/>
  <c r="L91" i="1" s="1"/>
  <c r="O92" i="1"/>
  <c r="BF92" i="1" s="1"/>
  <c r="AB92" i="1"/>
  <c r="AC92" i="1"/>
  <c r="AD92" i="1"/>
  <c r="AE92" i="1"/>
  <c r="AF92" i="1"/>
  <c r="AG92" i="1"/>
  <c r="AH92" i="1"/>
  <c r="AJ92" i="1"/>
  <c r="AS91" i="1" s="1"/>
  <c r="AK92" i="1"/>
  <c r="AT91" i="1" s="1"/>
  <c r="AL92" i="1"/>
  <c r="AU91" i="1" s="1"/>
  <c r="AO92" i="1"/>
  <c r="AW92" i="1" s="1"/>
  <c r="AP92" i="1"/>
  <c r="K92" i="1" s="1"/>
  <c r="AX92" i="1"/>
  <c r="BD92" i="1"/>
  <c r="BH92" i="1"/>
  <c r="BI92" i="1"/>
  <c r="BJ92" i="1"/>
  <c r="Z92" i="1" s="1"/>
  <c r="BW92" i="1"/>
  <c r="M92" i="1" s="1"/>
  <c r="L93" i="1"/>
  <c r="O93" i="1"/>
  <c r="BF93" i="1" s="1"/>
  <c r="AB93" i="1"/>
  <c r="AC93" i="1"/>
  <c r="AD93" i="1"/>
  <c r="AE93" i="1"/>
  <c r="AF93" i="1"/>
  <c r="AG93" i="1"/>
  <c r="AH93" i="1"/>
  <c r="AJ93" i="1"/>
  <c r="AK93" i="1"/>
  <c r="AL93" i="1"/>
  <c r="AO93" i="1"/>
  <c r="J93" i="1" s="1"/>
  <c r="AP93" i="1"/>
  <c r="K93" i="1" s="1"/>
  <c r="AX93" i="1"/>
  <c r="BD93" i="1"/>
  <c r="BH93" i="1"/>
  <c r="BI93" i="1"/>
  <c r="BJ93" i="1"/>
  <c r="Z93" i="1" s="1"/>
  <c r="BW93" i="1"/>
  <c r="M93" i="1" s="1"/>
  <c r="L94" i="1"/>
  <c r="O94" i="1"/>
  <c r="BF94" i="1" s="1"/>
  <c r="AB94" i="1"/>
  <c r="AC94" i="1"/>
  <c r="AD94" i="1"/>
  <c r="AE94" i="1"/>
  <c r="AF94" i="1"/>
  <c r="AG94" i="1"/>
  <c r="AH94" i="1"/>
  <c r="AJ94" i="1"/>
  <c r="AK94" i="1"/>
  <c r="AL94" i="1"/>
  <c r="AO94" i="1"/>
  <c r="AW94" i="1" s="1"/>
  <c r="AP94" i="1"/>
  <c r="K94" i="1" s="1"/>
  <c r="AX94" i="1"/>
  <c r="BD94" i="1"/>
  <c r="BH94" i="1"/>
  <c r="BI94" i="1"/>
  <c r="BJ94" i="1"/>
  <c r="Z94" i="1" s="1"/>
  <c r="BW94" i="1"/>
  <c r="M94" i="1" s="1"/>
  <c r="L95" i="1"/>
  <c r="O95" i="1"/>
  <c r="BF95" i="1" s="1"/>
  <c r="AB95" i="1"/>
  <c r="AC95" i="1"/>
  <c r="AD95" i="1"/>
  <c r="AE95" i="1"/>
  <c r="AF95" i="1"/>
  <c r="AG95" i="1"/>
  <c r="AH95" i="1"/>
  <c r="AJ95" i="1"/>
  <c r="AK95" i="1"/>
  <c r="AL95" i="1"/>
  <c r="AO95" i="1"/>
  <c r="AW95" i="1" s="1"/>
  <c r="AP95" i="1"/>
  <c r="K95" i="1" s="1"/>
  <c r="AX95" i="1"/>
  <c r="BD95" i="1"/>
  <c r="BH95" i="1"/>
  <c r="BI95" i="1"/>
  <c r="BJ95" i="1"/>
  <c r="Z95" i="1" s="1"/>
  <c r="BW95" i="1"/>
  <c r="M95" i="1" s="1"/>
  <c r="L96" i="1"/>
  <c r="O96" i="1"/>
  <c r="BF96" i="1" s="1"/>
  <c r="AB96" i="1"/>
  <c r="AC96" i="1"/>
  <c r="AD96" i="1"/>
  <c r="AE96" i="1"/>
  <c r="AF96" i="1"/>
  <c r="AG96" i="1"/>
  <c r="AH96" i="1"/>
  <c r="AJ96" i="1"/>
  <c r="AK96" i="1"/>
  <c r="AL96" i="1"/>
  <c r="AO96" i="1"/>
  <c r="AW96" i="1" s="1"/>
  <c r="AP96" i="1"/>
  <c r="K96" i="1" s="1"/>
  <c r="AX96" i="1"/>
  <c r="BD96" i="1"/>
  <c r="BH96" i="1"/>
  <c r="BI96" i="1"/>
  <c r="BJ96" i="1"/>
  <c r="Z96" i="1" s="1"/>
  <c r="BW96" i="1"/>
  <c r="M96" i="1" s="1"/>
  <c r="L97" i="1"/>
  <c r="O97" i="1"/>
  <c r="BF97" i="1" s="1"/>
  <c r="AB97" i="1"/>
  <c r="AC97" i="1"/>
  <c r="AD97" i="1"/>
  <c r="AE97" i="1"/>
  <c r="AF97" i="1"/>
  <c r="AG97" i="1"/>
  <c r="AH97" i="1"/>
  <c r="AJ97" i="1"/>
  <c r="AK97" i="1"/>
  <c r="AL97" i="1"/>
  <c r="AO97" i="1"/>
  <c r="AW97" i="1" s="1"/>
  <c r="AP97" i="1"/>
  <c r="K97" i="1" s="1"/>
  <c r="AX97" i="1"/>
  <c r="BD97" i="1"/>
  <c r="BH97" i="1"/>
  <c r="BI97" i="1"/>
  <c r="BJ97" i="1"/>
  <c r="Z97" i="1" s="1"/>
  <c r="BW97" i="1"/>
  <c r="M97" i="1" s="1"/>
  <c r="L98" i="1"/>
  <c r="O98" i="1"/>
  <c r="BF98" i="1" s="1"/>
  <c r="AB98" i="1"/>
  <c r="AC98" i="1"/>
  <c r="AD98" i="1"/>
  <c r="AE98" i="1"/>
  <c r="AF98" i="1"/>
  <c r="AG98" i="1"/>
  <c r="AH98" i="1"/>
  <c r="AJ98" i="1"/>
  <c r="AK98" i="1"/>
  <c r="AL98" i="1"/>
  <c r="AO98" i="1"/>
  <c r="AP98" i="1"/>
  <c r="K98" i="1" s="1"/>
  <c r="AX98" i="1"/>
  <c r="BD98" i="1"/>
  <c r="BH98" i="1"/>
  <c r="BI98" i="1"/>
  <c r="BJ98" i="1"/>
  <c r="Z98" i="1" s="1"/>
  <c r="BW98" i="1"/>
  <c r="M98" i="1" s="1"/>
  <c r="J99" i="1"/>
  <c r="L99" i="1"/>
  <c r="O99" i="1"/>
  <c r="BF99" i="1" s="1"/>
  <c r="AB99" i="1"/>
  <c r="AC99" i="1"/>
  <c r="AD99" i="1"/>
  <c r="AE99" i="1"/>
  <c r="AF99" i="1"/>
  <c r="AG99" i="1"/>
  <c r="AH99" i="1"/>
  <c r="AJ99" i="1"/>
  <c r="AK99" i="1"/>
  <c r="AL99" i="1"/>
  <c r="AO99" i="1"/>
  <c r="AW99" i="1" s="1"/>
  <c r="AP99" i="1"/>
  <c r="K99" i="1" s="1"/>
  <c r="AX99" i="1"/>
  <c r="BD99" i="1"/>
  <c r="BH99" i="1"/>
  <c r="BI99" i="1"/>
  <c r="BJ99" i="1"/>
  <c r="Z99" i="1" s="1"/>
  <c r="BW99" i="1"/>
  <c r="M99" i="1" s="1"/>
  <c r="C2" i="3"/>
  <c r="F2" i="3"/>
  <c r="C4" i="3"/>
  <c r="F4" i="3"/>
  <c r="C6" i="3"/>
  <c r="F6" i="3"/>
  <c r="C8" i="3"/>
  <c r="F8" i="3"/>
  <c r="C10" i="3"/>
  <c r="F10" i="3"/>
  <c r="I10" i="3"/>
  <c r="I15" i="3"/>
  <c r="F14" i="2" s="1"/>
  <c r="I16" i="3"/>
  <c r="F15" i="2" s="1"/>
  <c r="I17" i="3"/>
  <c r="F16" i="2" s="1"/>
  <c r="I18" i="3"/>
  <c r="I19" i="3"/>
  <c r="I20" i="3"/>
  <c r="I21" i="3"/>
  <c r="F20" i="2" s="1"/>
  <c r="I22" i="3"/>
  <c r="I26" i="3"/>
  <c r="I15" i="2" s="1"/>
  <c r="I27" i="3"/>
  <c r="I16" i="2" s="1"/>
  <c r="I28" i="3"/>
  <c r="I29" i="3"/>
  <c r="I18" i="2" s="1"/>
  <c r="I30" i="3"/>
  <c r="I19" i="2" s="1"/>
  <c r="I39" i="3"/>
  <c r="I40" i="3"/>
  <c r="I24" i="2" s="1"/>
  <c r="BC99" i="1" l="1"/>
  <c r="AV99" i="1"/>
  <c r="K91" i="1"/>
  <c r="K85" i="1"/>
  <c r="AW98" i="1"/>
  <c r="J98" i="1"/>
  <c r="BC97" i="1"/>
  <c r="AV97" i="1"/>
  <c r="BC96" i="1"/>
  <c r="AV96" i="1"/>
  <c r="BC95" i="1"/>
  <c r="AV95" i="1"/>
  <c r="BC94" i="1"/>
  <c r="AV94" i="1"/>
  <c r="BC92" i="1"/>
  <c r="AV92" i="1"/>
  <c r="BC90" i="1"/>
  <c r="AV90" i="1"/>
  <c r="BC89" i="1"/>
  <c r="AV89" i="1"/>
  <c r="BC88" i="1"/>
  <c r="AV88" i="1"/>
  <c r="BC87" i="1"/>
  <c r="AV87" i="1"/>
  <c r="BC80" i="1"/>
  <c r="AV80" i="1"/>
  <c r="M73" i="1"/>
  <c r="M91" i="1"/>
  <c r="M85" i="1"/>
  <c r="M53" i="1"/>
  <c r="J97" i="1"/>
  <c r="J96" i="1"/>
  <c r="J95" i="1"/>
  <c r="J94" i="1"/>
  <c r="O91" i="1"/>
  <c r="J90" i="1"/>
  <c r="J89" i="1"/>
  <c r="J92" i="1"/>
  <c r="J88" i="1"/>
  <c r="J87" i="1"/>
  <c r="J85" i="1" s="1"/>
  <c r="O85" i="1"/>
  <c r="O83" i="1"/>
  <c r="O81" i="1"/>
  <c r="J80" i="1"/>
  <c r="J79" i="1" s="1"/>
  <c r="AV75" i="1"/>
  <c r="K46" i="1"/>
  <c r="AX46" i="1"/>
  <c r="BC46" i="1" s="1"/>
  <c r="AW93" i="1"/>
  <c r="AW86" i="1"/>
  <c r="AW84" i="1"/>
  <c r="AW82" i="1"/>
  <c r="BH74" i="1"/>
  <c r="AB74" i="1" s="1"/>
  <c r="M46" i="1"/>
  <c r="M45" i="1" s="1"/>
  <c r="AS16" i="1"/>
  <c r="K78" i="1"/>
  <c r="K77" i="1" s="1"/>
  <c r="AW76" i="1"/>
  <c r="BI75" i="1"/>
  <c r="AC75" i="1" s="1"/>
  <c r="BC75" i="1"/>
  <c r="AW74" i="1"/>
  <c r="AW72" i="1"/>
  <c r="BF71" i="1"/>
  <c r="O68" i="1"/>
  <c r="K67" i="1"/>
  <c r="K66" i="1" s="1"/>
  <c r="AW65" i="1"/>
  <c r="J65" i="1"/>
  <c r="J64" i="1" s="1"/>
  <c r="BF63" i="1"/>
  <c r="AV60" i="1"/>
  <c r="J60" i="1"/>
  <c r="BH59" i="1"/>
  <c r="AD59" i="1" s="1"/>
  <c r="AV58" i="1"/>
  <c r="BC58" i="1"/>
  <c r="AX56" i="1"/>
  <c r="BC56" i="1" s="1"/>
  <c r="K56" i="1"/>
  <c r="AX52" i="1"/>
  <c r="BC52" i="1" s="1"/>
  <c r="K52" i="1"/>
  <c r="K51" i="1" s="1"/>
  <c r="AX48" i="1"/>
  <c r="BC48" i="1" s="1"/>
  <c r="K48" i="1"/>
  <c r="BI46" i="1"/>
  <c r="AE46" i="1" s="1"/>
  <c r="AL46" i="1"/>
  <c r="AU45" i="1" s="1"/>
  <c r="AL40" i="1"/>
  <c r="O79" i="1"/>
  <c r="AX54" i="1"/>
  <c r="BC54" i="1" s="1"/>
  <c r="K54" i="1"/>
  <c r="O53" i="1"/>
  <c r="AX50" i="1"/>
  <c r="BC50" i="1" s="1"/>
  <c r="K50" i="1"/>
  <c r="L41" i="1"/>
  <c r="M43" i="1"/>
  <c r="C21" i="2"/>
  <c r="AV78" i="1"/>
  <c r="BH76" i="1"/>
  <c r="AB76" i="1" s="1"/>
  <c r="BH72" i="1"/>
  <c r="AB72" i="1" s="1"/>
  <c r="C14" i="2" s="1"/>
  <c r="J70" i="1"/>
  <c r="AX55" i="1"/>
  <c r="BC55" i="1" s="1"/>
  <c r="K55" i="1"/>
  <c r="J53" i="1"/>
  <c r="AX47" i="1"/>
  <c r="BC47" i="1" s="1"/>
  <c r="K47" i="1"/>
  <c r="L45" i="1"/>
  <c r="M41" i="1"/>
  <c r="F22" i="2"/>
  <c r="BC78" i="1"/>
  <c r="BC69" i="1"/>
  <c r="K69" i="1"/>
  <c r="K68" i="1" s="1"/>
  <c r="BI67" i="1"/>
  <c r="AC67" i="1" s="1"/>
  <c r="AW67" i="1"/>
  <c r="J67" i="1"/>
  <c r="J66" i="1" s="1"/>
  <c r="BC61" i="1"/>
  <c r="BC60" i="1"/>
  <c r="AW59" i="1"/>
  <c r="AX57" i="1"/>
  <c r="BC57" i="1" s="1"/>
  <c r="K57" i="1"/>
  <c r="BI55" i="1"/>
  <c r="AE55" i="1" s="1"/>
  <c r="AX49" i="1"/>
  <c r="BC49" i="1" s="1"/>
  <c r="K49" i="1"/>
  <c r="BI47" i="1"/>
  <c r="AE47" i="1" s="1"/>
  <c r="AX43" i="1"/>
  <c r="BC43" i="1" s="1"/>
  <c r="K43" i="1"/>
  <c r="K41" i="1" s="1"/>
  <c r="BI43" i="1"/>
  <c r="AE43" i="1" s="1"/>
  <c r="J41" i="1"/>
  <c r="M37" i="1"/>
  <c r="AL37" i="1"/>
  <c r="AS19" i="1"/>
  <c r="AT35" i="1"/>
  <c r="AX34" i="1"/>
  <c r="K34" i="1"/>
  <c r="BI34" i="1"/>
  <c r="AC34" i="1" s="1"/>
  <c r="M34" i="1"/>
  <c r="AL34" i="1"/>
  <c r="AX30" i="1"/>
  <c r="K30" i="1"/>
  <c r="BI30" i="1"/>
  <c r="AC30" i="1" s="1"/>
  <c r="M30" i="1"/>
  <c r="AL30" i="1"/>
  <c r="L27" i="1"/>
  <c r="AX20" i="1"/>
  <c r="K20" i="1"/>
  <c r="BI20" i="1"/>
  <c r="AC20" i="1" s="1"/>
  <c r="M20" i="1"/>
  <c r="AL20" i="1"/>
  <c r="AX17" i="1"/>
  <c r="K17" i="1"/>
  <c r="K16" i="1" s="1"/>
  <c r="BI17" i="1"/>
  <c r="AC17" i="1" s="1"/>
  <c r="M17" i="1"/>
  <c r="M16" i="1" s="1"/>
  <c r="AL17" i="1"/>
  <c r="C28" i="2"/>
  <c r="F28" i="2" s="1"/>
  <c r="C18" i="2"/>
  <c r="AV57" i="1"/>
  <c r="AV56" i="1"/>
  <c r="AV55" i="1"/>
  <c r="AV54" i="1"/>
  <c r="AV52" i="1"/>
  <c r="AV50" i="1"/>
  <c r="AV49" i="1"/>
  <c r="AV48" i="1"/>
  <c r="AV47" i="1"/>
  <c r="AV46" i="1"/>
  <c r="AV43" i="1"/>
  <c r="AS41" i="1"/>
  <c r="AX40" i="1"/>
  <c r="AV40" i="1" s="1"/>
  <c r="K40" i="1"/>
  <c r="BI40" i="1"/>
  <c r="AE40" i="1" s="1"/>
  <c r="AX38" i="1"/>
  <c r="BC38" i="1" s="1"/>
  <c r="BI38" i="1"/>
  <c r="AE38" i="1" s="1"/>
  <c r="C17" i="2" s="1"/>
  <c r="K38" i="1"/>
  <c r="K35" i="1" s="1"/>
  <c r="C19" i="2"/>
  <c r="AS27" i="1"/>
  <c r="J23" i="1"/>
  <c r="C27" i="2"/>
  <c r="AX32" i="1"/>
  <c r="K32" i="1"/>
  <c r="BI32" i="1"/>
  <c r="AC32" i="1" s="1"/>
  <c r="M32" i="1"/>
  <c r="AL32" i="1"/>
  <c r="AX28" i="1"/>
  <c r="K28" i="1"/>
  <c r="K27" i="1" s="1"/>
  <c r="BI28" i="1"/>
  <c r="AC28" i="1" s="1"/>
  <c r="M28" i="1"/>
  <c r="AL28" i="1"/>
  <c r="AX25" i="1"/>
  <c r="K25" i="1"/>
  <c r="K23" i="1" s="1"/>
  <c r="BI25" i="1"/>
  <c r="AC25" i="1" s="1"/>
  <c r="M25" i="1"/>
  <c r="AL25" i="1"/>
  <c r="AT23" i="1"/>
  <c r="AX22" i="1"/>
  <c r="K22" i="1"/>
  <c r="BI22" i="1"/>
  <c r="AC22" i="1" s="1"/>
  <c r="M22" i="1"/>
  <c r="AL22" i="1"/>
  <c r="L19" i="1"/>
  <c r="L16" i="1"/>
  <c r="AX13" i="1"/>
  <c r="K13" i="1"/>
  <c r="K12" i="1" s="1"/>
  <c r="BI13" i="1"/>
  <c r="AC13" i="1" s="1"/>
  <c r="M13" i="1"/>
  <c r="M12" i="1" s="1"/>
  <c r="AL13" i="1"/>
  <c r="AU12" i="1" s="1"/>
  <c r="J45" i="1"/>
  <c r="M33" i="1"/>
  <c r="AL33" i="1"/>
  <c r="M29" i="1"/>
  <c r="AL29" i="1"/>
  <c r="J27" i="1"/>
  <c r="M24" i="1"/>
  <c r="M23" i="1" s="1"/>
  <c r="AL24" i="1"/>
  <c r="L23" i="1"/>
  <c r="C20" i="2"/>
  <c r="C16" i="2"/>
  <c r="M18" i="1"/>
  <c r="AL18" i="1"/>
  <c r="J16" i="1"/>
  <c r="AS12" i="1"/>
  <c r="M36" i="1"/>
  <c r="M35" i="1" s="1"/>
  <c r="AL36" i="1"/>
  <c r="AU35" i="1" s="1"/>
  <c r="L35" i="1"/>
  <c r="M31" i="1"/>
  <c r="AL31" i="1"/>
  <c r="M26" i="1"/>
  <c r="AL26" i="1"/>
  <c r="M21" i="1"/>
  <c r="AL21" i="1"/>
  <c r="J19" i="1"/>
  <c r="M15" i="1"/>
  <c r="M14" i="1" s="1"/>
  <c r="AL15" i="1"/>
  <c r="AU14" i="1" s="1"/>
  <c r="L14" i="1"/>
  <c r="AV22" i="1" l="1"/>
  <c r="BC22" i="1"/>
  <c r="M27" i="1"/>
  <c r="AV32" i="1"/>
  <c r="BC32" i="1"/>
  <c r="AU19" i="1"/>
  <c r="BC20" i="1"/>
  <c r="AV20" i="1"/>
  <c r="BC86" i="1"/>
  <c r="AV86" i="1"/>
  <c r="L100" i="1"/>
  <c r="AU23" i="1"/>
  <c r="BC13" i="1"/>
  <c r="AV13" i="1"/>
  <c r="M19" i="1"/>
  <c r="M100" i="1" s="1"/>
  <c r="AV38" i="1"/>
  <c r="K53" i="1"/>
  <c r="AV65" i="1"/>
  <c r="BC65" i="1"/>
  <c r="AV72" i="1"/>
  <c r="BC72" i="1"/>
  <c r="AV76" i="1"/>
  <c r="BC76" i="1"/>
  <c r="BC93" i="1"/>
  <c r="AV93" i="1"/>
  <c r="BC30" i="1"/>
  <c r="AV30" i="1"/>
  <c r="BC40" i="1"/>
  <c r="AV59" i="1"/>
  <c r="BC59" i="1"/>
  <c r="AV67" i="1"/>
  <c r="BC67" i="1"/>
  <c r="AV74" i="1"/>
  <c r="BC74" i="1"/>
  <c r="BC82" i="1"/>
  <c r="AV82" i="1"/>
  <c r="BC98" i="1"/>
  <c r="AV98" i="1"/>
  <c r="BC25" i="1"/>
  <c r="AV25" i="1"/>
  <c r="C15" i="2"/>
  <c r="C22" i="2" s="1"/>
  <c r="H25" i="3" s="1"/>
  <c r="I25" i="3" s="1"/>
  <c r="AU27" i="1"/>
  <c r="AV28" i="1"/>
  <c r="BC28" i="1"/>
  <c r="AU16" i="1"/>
  <c r="AV17" i="1"/>
  <c r="BC17" i="1"/>
  <c r="K19" i="1"/>
  <c r="BC34" i="1"/>
  <c r="AV34" i="1"/>
  <c r="BC84" i="1"/>
  <c r="AV84" i="1"/>
  <c r="K45" i="1"/>
  <c r="J91" i="1"/>
  <c r="I14" i="2" l="1"/>
  <c r="I22" i="2" s="1"/>
  <c r="C29" i="2" s="1"/>
  <c r="I31" i="3"/>
  <c r="F33" i="3" s="1"/>
  <c r="F29" i="2" l="1"/>
  <c r="I28" i="2"/>
  <c r="I29" i="2" l="1"/>
</calcChain>
</file>

<file path=xl/sharedStrings.xml><?xml version="1.0" encoding="utf-8"?>
<sst xmlns="http://schemas.openxmlformats.org/spreadsheetml/2006/main" count="1041" uniqueCount="394">
  <si>
    <t>Výkaz výměr</t>
  </si>
  <si>
    <t>Název stavby:</t>
  </si>
  <si>
    <t>Ozdravná protiradonová opatření v MŠ Svojsíkova, Šluknov</t>
  </si>
  <si>
    <t>Doba výstavby:</t>
  </si>
  <si>
    <t xml:space="preserve"> </t>
  </si>
  <si>
    <t>Objednatel:</t>
  </si>
  <si>
    <t>Město Šluknov, nám.Míru 1, 407 77 Šluknov</t>
  </si>
  <si>
    <t>Druh stavby:</t>
  </si>
  <si>
    <t>Ozdravná protiradonová opatření</t>
  </si>
  <si>
    <t>Začátek výstavby:</t>
  </si>
  <si>
    <t>Projektant:</t>
  </si>
  <si>
    <t>Proton plus s.r.o.,m Zeyerova 855/15, 779 00 Olomouc</t>
  </si>
  <si>
    <t>Lokalita:</t>
  </si>
  <si>
    <t>Šluknov</t>
  </si>
  <si>
    <t>Konec výstavby:</t>
  </si>
  <si>
    <t>Zhotovitel:</t>
  </si>
  <si>
    <t> </t>
  </si>
  <si>
    <t>JKSO:</t>
  </si>
  <si>
    <t>Zpracováno dne:</t>
  </si>
  <si>
    <t>Zpracoval:</t>
  </si>
  <si>
    <t>Ing.Jiří Ruprecht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</si>
  <si>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</si>
  <si>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</si>
  <si>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</si>
  <si>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</si>
  <si>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</si>
  <si>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</si>
  <si>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</si>
  <si>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</si>
  <si>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</si>
  <si>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</si>
  <si>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</si>
  <si>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</si>
  <si>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</si>
  <si>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</si>
  <si>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</si>
  <si>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</si>
  <si>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</si>
  <si>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</si>
  <si>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</si>
  <si>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</si>
  <si>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</si>
  <si>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</si>
  <si>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</si>
  <si>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</si>
  <si>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</si>
  <si>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</si>
  <si>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</si>
  <si>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</si>
  <si>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</si>
  <si>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</si>
  <si>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</si>
  <si>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</si>
  <si>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</si>
  <si>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</si>
  <si>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12</t>
  </si>
  <si>
    <t>Odkopávky a prokopávky</t>
  </si>
  <si>
    <t>1</t>
  </si>
  <si>
    <t>122401101R00</t>
  </si>
  <si>
    <t>Odkopávky nezapažené v hor. 5 do 100 m3</t>
  </si>
  <si>
    <t>m3</t>
  </si>
  <si>
    <t>21</t>
  </si>
  <si>
    <t>RTS I / 2024</t>
  </si>
  <si>
    <t>12_</t>
  </si>
  <si>
    <t>1_</t>
  </si>
  <si>
    <t>_</t>
  </si>
  <si>
    <t>31</t>
  </si>
  <si>
    <t>Zdi podpěrné a volné</t>
  </si>
  <si>
    <t>2</t>
  </si>
  <si>
    <t>314259520R00</t>
  </si>
  <si>
    <t>Komínová vložka PVC pro odsávání</t>
  </si>
  <si>
    <t>m</t>
  </si>
  <si>
    <t>31_</t>
  </si>
  <si>
    <t>3_</t>
  </si>
  <si>
    <t>34</t>
  </si>
  <si>
    <t>Stěny a příčky</t>
  </si>
  <si>
    <t>3</t>
  </si>
  <si>
    <t>346234311R00</t>
  </si>
  <si>
    <t>Zazdívka rýh průřezu 150x300 mm a vytvoření průduchu 150x150 s vnitřní omítkou</t>
  </si>
  <si>
    <t>34_</t>
  </si>
  <si>
    <t>4</t>
  </si>
  <si>
    <t>340238212R00</t>
  </si>
  <si>
    <t>Zazdívka otvorů pl.1 m2,cihlami tl.zdi nad 10 cm</t>
  </si>
  <si>
    <t>m2</t>
  </si>
  <si>
    <t>56</t>
  </si>
  <si>
    <t>Podkladní vrstvy komunikací, letišť a ploch</t>
  </si>
  <si>
    <t>5</t>
  </si>
  <si>
    <t>568111111R00</t>
  </si>
  <si>
    <t>Zřízení vrstvy z geotextilie skl.do 1:5, svařovaná</t>
  </si>
  <si>
    <t>56_</t>
  </si>
  <si>
    <t>5_</t>
  </si>
  <si>
    <t>6</t>
  </si>
  <si>
    <t>564811111RT3</t>
  </si>
  <si>
    <t>Podklad ze štěrkodrti po zhutnění tloušťky 5 cm</t>
  </si>
  <si>
    <t>7</t>
  </si>
  <si>
    <t>564871111RT3</t>
  </si>
  <si>
    <t>Obsyp drenážního potrubí</t>
  </si>
  <si>
    <t>61</t>
  </si>
  <si>
    <t>Úprava povrchů vnitřní</t>
  </si>
  <si>
    <t>8</t>
  </si>
  <si>
    <t>612403381R00</t>
  </si>
  <si>
    <t>Hrubá výplň rýh ve stěnách do 5x3 cm maltou ze SMS</t>
  </si>
  <si>
    <t>61_</t>
  </si>
  <si>
    <t>6_</t>
  </si>
  <si>
    <t>9</t>
  </si>
  <si>
    <t>612422391R00</t>
  </si>
  <si>
    <t>Příplatek za další 1cm tl.váp.omítky stěn pl.-30%</t>
  </si>
  <si>
    <t>10</t>
  </si>
  <si>
    <t>612421626R00</t>
  </si>
  <si>
    <t>Omítka vnitřní zdiva, MVC, hladká</t>
  </si>
  <si>
    <t>63</t>
  </si>
  <si>
    <t>Podlahy a podlahové konstrukce</t>
  </si>
  <si>
    <t>11</t>
  </si>
  <si>
    <t>631361921RT0</t>
  </si>
  <si>
    <t>Výztuž mazanin svařovanou sítí</t>
  </si>
  <si>
    <t>t</t>
  </si>
  <si>
    <t>63_</t>
  </si>
  <si>
    <t>631313621RN5</t>
  </si>
  <si>
    <t>Mazanina betonová tl. 8 - 12 cm C 20/25</t>
  </si>
  <si>
    <t>13</t>
  </si>
  <si>
    <t>631319151R00</t>
  </si>
  <si>
    <t>Příplatek za přehlaz. mazanin pod povlaky tl. 8 cm</t>
  </si>
  <si>
    <t>14</t>
  </si>
  <si>
    <t>632411106RT3</t>
  </si>
  <si>
    <t>Samonivelační stěrka, ruční zpracování tl. 6 mm</t>
  </si>
  <si>
    <t>15</t>
  </si>
  <si>
    <t>632441491R00</t>
  </si>
  <si>
    <t>Broušení anhydritových potěrů - odstranění šlemu</t>
  </si>
  <si>
    <t>16</t>
  </si>
  <si>
    <t>632451021R00</t>
  </si>
  <si>
    <t>Vyrovnávací potěr MC 15, v pásu, tl. 20 mm</t>
  </si>
  <si>
    <t>17</t>
  </si>
  <si>
    <t>632441015RT1</t>
  </si>
  <si>
    <t>Potěr anhydritový, plocha do 100 m2, tl. 50 mm</t>
  </si>
  <si>
    <t>711</t>
  </si>
  <si>
    <t>Izolace proti vodě</t>
  </si>
  <si>
    <t>18</t>
  </si>
  <si>
    <t>711130102R00</t>
  </si>
  <si>
    <t>Odstranění izolace proti vlhkosti na ploše vodorovné, asfaltové pásy na sucho, 2 vrstvy</t>
  </si>
  <si>
    <t>711_</t>
  </si>
  <si>
    <t>71_</t>
  </si>
  <si>
    <t>19</t>
  </si>
  <si>
    <t>711471051RZ5</t>
  </si>
  <si>
    <t>Provedení izolace proti tlakové vodě, na ploše vodorovné, fóliemi PVc, vč. přesahů</t>
  </si>
  <si>
    <t>20</t>
  </si>
  <si>
    <t>711472051RZ5</t>
  </si>
  <si>
    <t>Provedení izolace proti tlakové vodě, na ploše svislé, fóliemi PVC</t>
  </si>
  <si>
    <t>711212001R00</t>
  </si>
  <si>
    <t>Stěrka hydroizolační dvousložková s vlákny</t>
  </si>
  <si>
    <t>22</t>
  </si>
  <si>
    <t>711191171R00</t>
  </si>
  <si>
    <t>Provedení těsnícího koutu</t>
  </si>
  <si>
    <t>ks</t>
  </si>
  <si>
    <t>713</t>
  </si>
  <si>
    <t>Izolace tepelné</t>
  </si>
  <si>
    <t>23</t>
  </si>
  <si>
    <t>713121118RU1</t>
  </si>
  <si>
    <t>Montáž dilatačního pásku podél stěn</t>
  </si>
  <si>
    <t>713_</t>
  </si>
  <si>
    <t>24</t>
  </si>
  <si>
    <t>713121111RV1</t>
  </si>
  <si>
    <t>Montáž tepelné izolace EPS 100</t>
  </si>
  <si>
    <t>25</t>
  </si>
  <si>
    <t>713111231RS6</t>
  </si>
  <si>
    <t>Montáž parozábrany, stropů shora s přelepením spojů</t>
  </si>
  <si>
    <t>728</t>
  </si>
  <si>
    <t>Vzduchotechnika</t>
  </si>
  <si>
    <t>26</t>
  </si>
  <si>
    <t>728114111R00</t>
  </si>
  <si>
    <t>Montáž potrubí plastového kruhového do d 100 mm, vč. uchycení</t>
  </si>
  <si>
    <t>728_</t>
  </si>
  <si>
    <t>72_</t>
  </si>
  <si>
    <t>27</t>
  </si>
  <si>
    <t>728415113R00</t>
  </si>
  <si>
    <t>Montáž mřížky větrací nebo ventilační do 0,15 m2</t>
  </si>
  <si>
    <t>kus</t>
  </si>
  <si>
    <t>28</t>
  </si>
  <si>
    <t>728413521R00</t>
  </si>
  <si>
    <t>Montáž talířového ventilu kruhového do d 100 mm</t>
  </si>
  <si>
    <t>29</t>
  </si>
  <si>
    <t>728611511R00</t>
  </si>
  <si>
    <t>Montáž ventilátoru radiálního nízkotlakého střešního do d 100 mm</t>
  </si>
  <si>
    <t>30</t>
  </si>
  <si>
    <t>728614212R00</t>
  </si>
  <si>
    <t>Montáž ventilátoru axiálního nízkotlakového potrubního</t>
  </si>
  <si>
    <t>767</t>
  </si>
  <si>
    <t>Konstrukce doplňkové stavební (zámečnické)</t>
  </si>
  <si>
    <t>767649191R00</t>
  </si>
  <si>
    <t>Montáž doplňků dveří, samozavírače</t>
  </si>
  <si>
    <t>767_</t>
  </si>
  <si>
    <t>76_</t>
  </si>
  <si>
    <t>776</t>
  </si>
  <si>
    <t>Podlahy povlakové</t>
  </si>
  <si>
    <t>32</t>
  </si>
  <si>
    <t>776511820R00</t>
  </si>
  <si>
    <t>Odstranění PVC a koberců lepených s podložkou</t>
  </si>
  <si>
    <t>776_</t>
  </si>
  <si>
    <t>77_</t>
  </si>
  <si>
    <t>33</t>
  </si>
  <si>
    <t>776521100R00</t>
  </si>
  <si>
    <t>Lepení povlak.podlah z pásů PVC</t>
  </si>
  <si>
    <t>776992111R00</t>
  </si>
  <si>
    <t>Svařování povlak. podlah z pásů nebo čtverců</t>
  </si>
  <si>
    <t>35</t>
  </si>
  <si>
    <t>776995112R00</t>
  </si>
  <si>
    <t>Lepení profilů na prahy, šířka 90 mm</t>
  </si>
  <si>
    <t>36</t>
  </si>
  <si>
    <t>776981124R00</t>
  </si>
  <si>
    <t>Lišta nerezová podlahová krycí, povlak.podlah.</t>
  </si>
  <si>
    <t>37</t>
  </si>
  <si>
    <t>776981102R00</t>
  </si>
  <si>
    <t>Montáž soklové lišty PVC</t>
  </si>
  <si>
    <t>38</t>
  </si>
  <si>
    <t>776101101R00</t>
  </si>
  <si>
    <t>Vysávání podlah prům.vysavačem pod povlak.podlahy</t>
  </si>
  <si>
    <t>39</t>
  </si>
  <si>
    <t>776101121R00</t>
  </si>
  <si>
    <t>Provedení penetrace podkladu pod povlakové podlahové krytiny a samonivelační hmoty</t>
  </si>
  <si>
    <t>87</t>
  </si>
  <si>
    <t>Potrubí z trub plastických, skleněných a čedičových</t>
  </si>
  <si>
    <t>40</t>
  </si>
  <si>
    <t>871251111R00</t>
  </si>
  <si>
    <t>Montáž trubek z tvrdého PVC ve zdi d 110 mm, vč montáže</t>
  </si>
  <si>
    <t>87_</t>
  </si>
  <si>
    <t>8_</t>
  </si>
  <si>
    <t>88</t>
  </si>
  <si>
    <t>Potrubí z drenážek</t>
  </si>
  <si>
    <t>41</t>
  </si>
  <si>
    <t>881267211R00</t>
  </si>
  <si>
    <t>Potrubí z drenážních trubek</t>
  </si>
  <si>
    <t>88_</t>
  </si>
  <si>
    <t>90</t>
  </si>
  <si>
    <t>Hodinové zúčtovací sazby (HZS)</t>
  </si>
  <si>
    <t>42</t>
  </si>
  <si>
    <t>900      R00</t>
  </si>
  <si>
    <t>HZS-Seřízení odsávání</t>
  </si>
  <si>
    <t>h</t>
  </si>
  <si>
    <t>90_</t>
  </si>
  <si>
    <t>9_</t>
  </si>
  <si>
    <t>94</t>
  </si>
  <si>
    <t>Lešení a stavební výtahy</t>
  </si>
  <si>
    <t>43</t>
  </si>
  <si>
    <t>941955101R00</t>
  </si>
  <si>
    <t>Lešení lehké pomocné,schodiště, H podlahy do 1,5 m</t>
  </si>
  <si>
    <t>94_</t>
  </si>
  <si>
    <t>96</t>
  </si>
  <si>
    <t>Bourání konstrukcí</t>
  </si>
  <si>
    <t>44</t>
  </si>
  <si>
    <t>965042231R00</t>
  </si>
  <si>
    <t>Bourání mazanin betonových tl. nad 10 cm</t>
  </si>
  <si>
    <t>96_</t>
  </si>
  <si>
    <t>45</t>
  </si>
  <si>
    <t>965049112R00</t>
  </si>
  <si>
    <t>Příplatek, bourání mazanin se svař.síťí nad 10 cm</t>
  </si>
  <si>
    <t>97</t>
  </si>
  <si>
    <t>Prorážení otvorů a ostatní bourací práce</t>
  </si>
  <si>
    <t>46</t>
  </si>
  <si>
    <t>974031132R00</t>
  </si>
  <si>
    <t>Vysekání rýh ve zdi cihelné 5 x 7 cm</t>
  </si>
  <si>
    <t>97_</t>
  </si>
  <si>
    <t>47</t>
  </si>
  <si>
    <t>970031200R00</t>
  </si>
  <si>
    <t>Vrtání jádrové do zdiva cihelného do D 200 mm</t>
  </si>
  <si>
    <t>48</t>
  </si>
  <si>
    <t>970033200R00</t>
  </si>
  <si>
    <t>Příp. za jádr. vrt. ve H nad 1,5m cihel do D 200mm</t>
  </si>
  <si>
    <t>H01</t>
  </si>
  <si>
    <t>Budovy občanské výstavby</t>
  </si>
  <si>
    <t>49</t>
  </si>
  <si>
    <t>998011002R00</t>
  </si>
  <si>
    <t>Přesun hmot pro budovy zděné výšky do 12 m</t>
  </si>
  <si>
    <t>H01_</t>
  </si>
  <si>
    <t>H711</t>
  </si>
  <si>
    <t>50</t>
  </si>
  <si>
    <t>998711202R00</t>
  </si>
  <si>
    <t>Přesun hmot pro izolace proti vodě, výšky do 12 m</t>
  </si>
  <si>
    <t>%</t>
  </si>
  <si>
    <t>H711_</t>
  </si>
  <si>
    <t>H713</t>
  </si>
  <si>
    <t>51</t>
  </si>
  <si>
    <t>998713102R00</t>
  </si>
  <si>
    <t>Přesun hmot pro izolace tepelné, výšky do 12 m</t>
  </si>
  <si>
    <t>H713_</t>
  </si>
  <si>
    <t>M21</t>
  </si>
  <si>
    <t>Elektromontáže</t>
  </si>
  <si>
    <t>52</t>
  </si>
  <si>
    <t>210010022RT1</t>
  </si>
  <si>
    <t>Trubka-lišta tuhá z PVC uložená pevně, 23 mm</t>
  </si>
  <si>
    <t>M21_</t>
  </si>
  <si>
    <t>M65</t>
  </si>
  <si>
    <t>Elektroinstalace</t>
  </si>
  <si>
    <t>53</t>
  </si>
  <si>
    <t>650121113R00</t>
  </si>
  <si>
    <t>Uložení vodiče Cu 2,5 mm2 pevně</t>
  </si>
  <si>
    <t>M65_</t>
  </si>
  <si>
    <t>54</t>
  </si>
  <si>
    <t>650516816R00</t>
  </si>
  <si>
    <t>Revize elektro zařízení</t>
  </si>
  <si>
    <t>55</t>
  </si>
  <si>
    <t>650061611R00</t>
  </si>
  <si>
    <t>Montáž jističe modulárního jednopólového do 25 A</t>
  </si>
  <si>
    <t>650141211R00</t>
  </si>
  <si>
    <t>Ukončení vodiče v krabici + zapojení do 2,5 mm2</t>
  </si>
  <si>
    <t>57</t>
  </si>
  <si>
    <t>650051147R00</t>
  </si>
  <si>
    <t>Montáž spínacích hodin</t>
  </si>
  <si>
    <t>S</t>
  </si>
  <si>
    <t>Přesuny sutí</t>
  </si>
  <si>
    <t>58</t>
  </si>
  <si>
    <t>979981101R00</t>
  </si>
  <si>
    <t>Kontejner, přistavení na 24 h, odvoz a likvidace, suť bez příměsí, kapacita 3 t</t>
  </si>
  <si>
    <t>S_</t>
  </si>
  <si>
    <t>59</t>
  </si>
  <si>
    <t>979990121R00</t>
  </si>
  <si>
    <t>Poplatek za uložení suti - asfaltové pásy, PVC</t>
  </si>
  <si>
    <t>60</t>
  </si>
  <si>
    <t>979999975R00</t>
  </si>
  <si>
    <t>Poplatek za uložení, zemina a kamení s příměsí 10 % (cihla, beton), (skup.170504)</t>
  </si>
  <si>
    <t>979011221R00</t>
  </si>
  <si>
    <t>Svislá doprava suti a vybour. hmot za 1.PP nošením</t>
  </si>
  <si>
    <t>62</t>
  </si>
  <si>
    <t>979081111R00</t>
  </si>
  <si>
    <t>Odvoz suti a vybour. hmot na skládku do 1 km</t>
  </si>
  <si>
    <t>979081121R00</t>
  </si>
  <si>
    <t>Příplatek k odvozu za každý další 1 km</t>
  </si>
  <si>
    <t>64</t>
  </si>
  <si>
    <t>979082111R00</t>
  </si>
  <si>
    <t>Vnitrostaveništní doprava suti do 10 m</t>
  </si>
  <si>
    <t>65</t>
  </si>
  <si>
    <t>979082121R00</t>
  </si>
  <si>
    <t>Příplatek k vnitrost. dopravě suti za dalších 5 m</t>
  </si>
  <si>
    <t>Celkem:</t>
  </si>
  <si>
    <t>Poznámka:</t>
  </si>
  <si>
    <t xml:space="preserve">Krycí list </t>
  </si>
  <si>
    <t>IČO/DIČ:</t>
  </si>
  <si>
    <t>00261688/CZ00261688</t>
  </si>
  <si>
    <t>60779471/CZ60779471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</si>
  <si>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</si>
  <si>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</si>
  <si>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</si>
  <si>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</si>
  <si>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</si>
  <si>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</si>
  <si>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</si>
  <si>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</si>
  <si>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</si>
  <si>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</si>
  <si>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</si>
  <si>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</si>
  <si>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</si>
  <si>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</si>
  <si>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</si>
  <si>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</si>
  <si>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</si>
  <si>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</si>
  <si>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Radonová měření</t>
  </si>
  <si>
    <t>Provozní vlivy</t>
  </si>
  <si>
    <t>"M"</t>
  </si>
  <si>
    <t>Závěrečné měření</t>
  </si>
  <si>
    <t>Ostatní</t>
  </si>
  <si>
    <t>Projektová dokum.</t>
  </si>
  <si>
    <t>NUS z rozpočtu</t>
  </si>
  <si>
    <t>Ostatní materiál</t>
  </si>
  <si>
    <t>Technický dozor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</si>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</sst>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38"/>
    </font>
    <font>
      <sz val="11"/>
      <name val="Calibri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Border="1" applyAlignment="1" applyProtection="1"/>
    <xf numFmtId="4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left" vertical="center"/>
    </xf>
    <xf numFmtId="0" fontId="10" fillId="0" borderId="22" xfId="0" applyFont="1" applyFill="1" applyBorder="1" applyAlignment="1" applyProtection="1">
      <alignment horizontal="left" vertical="center"/>
    </xf>
    <xf numFmtId="4" fontId="10" fillId="0" borderId="22" xfId="0" applyNumberFormat="1" applyFont="1" applyFill="1" applyBorder="1" applyAlignment="1" applyProtection="1">
      <alignment horizontal="right" vertical="center"/>
    </xf>
    <xf numFmtId="0" fontId="9" fillId="0" borderId="26" xfId="0" applyFont="1" applyFill="1" applyBorder="1" applyAlignment="1" applyProtection="1">
      <alignment horizontal="left" vertical="center"/>
    </xf>
    <xf numFmtId="4" fontId="10" fillId="0" borderId="24" xfId="0" applyNumberFormat="1" applyFont="1" applyFill="1" applyBorder="1" applyAlignment="1" applyProtection="1">
      <alignment horizontal="right" vertical="center"/>
    </xf>
    <xf numFmtId="0" fontId="10" fillId="0" borderId="22" xfId="0" applyFont="1" applyFill="1" applyBorder="1" applyAlignment="1" applyProtection="1">
      <alignment horizontal="right" vertical="center"/>
    </xf>
    <xf numFmtId="4" fontId="10" fillId="0" borderId="5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right" vertical="center"/>
    </xf>
    <xf numFmtId="4" fontId="10" fillId="0" borderId="15" xfId="0" applyNumberFormat="1" applyFont="1" applyFill="1" applyBorder="1" applyAlignment="1" applyProtection="1">
      <alignment horizontal="right" vertical="center"/>
    </xf>
    <xf numFmtId="4" fontId="9" fillId="2" borderId="24" xfId="0" applyNumberFormat="1" applyFont="1" applyFill="1" applyBorder="1" applyAlignment="1" applyProtection="1">
      <alignment horizontal="right" vertical="center"/>
    </xf>
    <xf numFmtId="4" fontId="9" fillId="2" borderId="22" xfId="0" applyNumberFormat="1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right" vertical="center"/>
    </xf>
    <xf numFmtId="4" fontId="4" fillId="0" borderId="22" xfId="0" applyNumberFormat="1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left" vertical="center"/>
    </xf>
    <xf numFmtId="4" fontId="4" fillId="0" borderId="24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3" fillId="0" borderId="35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right" vertical="center"/>
    </xf>
    <xf numFmtId="4" fontId="3" fillId="0" borderId="35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/>
    </xf>
    <xf numFmtId="1" fontId="4" fillId="0" borderId="5" xfId="0" applyNumberFormat="1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left" vertical="center"/>
    </xf>
    <xf numFmtId="14" fontId="4" fillId="0" borderId="2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left" vertical="center"/>
    </xf>
    <xf numFmtId="0" fontId="10" fillId="0" borderId="22" xfId="0" applyFont="1" applyFill="1" applyBorder="1" applyAlignment="1" applyProtection="1">
      <alignment horizontal="left" vertical="center"/>
    </xf>
    <xf numFmtId="0" fontId="9" fillId="0" borderId="26" xfId="0" applyFont="1" applyFill="1" applyBorder="1" applyAlignment="1" applyProtection="1">
      <alignment horizontal="left" vertical="center"/>
    </xf>
    <xf numFmtId="0" fontId="9" fillId="0" borderId="25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left" vertical="center"/>
    </xf>
    <xf numFmtId="0" fontId="9" fillId="2" borderId="27" xfId="0" applyFont="1" applyFill="1" applyBorder="1" applyAlignment="1" applyProtection="1">
      <alignment horizontal="left" vertical="center"/>
    </xf>
    <xf numFmtId="0" fontId="9" fillId="2" borderId="20" xfId="0" applyFont="1" applyFill="1" applyBorder="1" applyAlignment="1" applyProtection="1">
      <alignment horizontal="left" vertical="center"/>
    </xf>
    <xf numFmtId="0" fontId="9" fillId="2" borderId="28" xfId="0" applyFont="1" applyFill="1" applyBorder="1" applyAlignment="1" applyProtection="1">
      <alignment horizontal="left" vertical="center"/>
    </xf>
    <xf numFmtId="0" fontId="9" fillId="2" borderId="21" xfId="0" applyFont="1" applyFill="1" applyBorder="1" applyAlignment="1" applyProtection="1">
      <alignment horizontal="left" vertical="center"/>
    </xf>
    <xf numFmtId="0" fontId="10" fillId="0" borderId="29" xfId="0" applyFont="1" applyFill="1" applyBorder="1" applyAlignment="1" applyProtection="1">
      <alignment horizontal="left" vertical="center"/>
    </xf>
    <xf numFmtId="0" fontId="10" fillId="0" borderId="30" xfId="0" applyFont="1" applyFill="1" applyBorder="1" applyAlignment="1" applyProtection="1">
      <alignment horizontal="left" vertical="center"/>
    </xf>
    <xf numFmtId="0" fontId="10" fillId="0" borderId="31" xfId="0" applyFont="1" applyFill="1" applyBorder="1" applyAlignment="1" applyProtection="1">
      <alignment horizontal="left" vertical="center"/>
    </xf>
    <xf numFmtId="0" fontId="10" fillId="0" borderId="32" xfId="0" applyFont="1" applyFill="1" applyBorder="1" applyAlignment="1" applyProtection="1">
      <alignment horizontal="left" vertical="center"/>
    </xf>
    <xf numFmtId="0" fontId="10" fillId="0" borderId="33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9" fillId="0" borderId="35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47625</xdr:colOff>
      <xdr:row>0</xdr:row>
      <xdr:rowOff>666750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47725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tabSelected="1" workbookViewId="0">
      <pane ySplit="11" topLeftCell="A75" activePane="bottomLeft" state="frozen"/>
      <selection pane="bottomLeft" activeCell="A2" sqref="A2:C3"/>
    </sheetView>
  </sheetViews>
  <sheetFormatPr defaultColWidth="12.140625" defaultRowHeight="15" customHeight="1" x14ac:dyDescent="0.25"/>
  <cols>
    <col min="1" max="1" width="4" style="1" customWidth="1"/>
    <col min="2" max="2" width="7.5703125" style="1" customWidth="1"/>
    <col min="3" max="3" width="18" style="1" customWidth="1"/>
    <col min="4" max="4" width="28.7109375" style="1" customWidth="1"/>
    <col min="5" max="5" width="36" style="1" customWidth="1"/>
    <col min="6" max="6" width="4.28515625" style="1" customWidth="1"/>
    <col min="7" max="7" width="13" style="1" customWidth="1"/>
    <col min="8" max="8" width="12" style="1" customWidth="1"/>
    <col min="9" max="9" width="11.140625" style="1" customWidth="1"/>
    <col min="10" max="13" width="15.85546875" style="1" customWidth="1"/>
    <col min="14" max="15" width="11.7109375" style="1" customWidth="1"/>
    <col min="16" max="16" width="13.5703125" style="1" customWidth="1"/>
    <col min="25" max="78" width="0" style="1" hidden="1" customWidth="1"/>
  </cols>
  <sheetData>
    <row r="1" spans="1:76" ht="54.7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AS1" s="2">
        <f>SUM(AJ1:AJ2)</f>
        <v>0</v>
      </c>
      <c r="AT1" s="2">
        <f>SUM(AK1:AK2)</f>
        <v>0</v>
      </c>
      <c r="AU1" s="2">
        <f>SUM(AL1:AL2)</f>
        <v>0</v>
      </c>
    </row>
    <row r="2" spans="1:76" ht="12.75" customHeight="1" x14ac:dyDescent="0.25">
      <c r="A2" s="59" t="s">
        <v>1</v>
      </c>
      <c r="B2" s="59"/>
      <c r="C2" s="59"/>
      <c r="D2" s="60" t="s">
        <v>2</v>
      </c>
      <c r="E2" s="60"/>
      <c r="F2" s="61" t="s">
        <v>3</v>
      </c>
      <c r="G2" s="61"/>
      <c r="H2" s="61" t="s">
        <v>4</v>
      </c>
      <c r="I2" s="62" t="s">
        <v>5</v>
      </c>
      <c r="J2" s="63" t="s">
        <v>6</v>
      </c>
      <c r="K2" s="63"/>
      <c r="L2" s="63"/>
      <c r="M2" s="63"/>
      <c r="N2" s="63"/>
      <c r="O2" s="63"/>
      <c r="P2" s="63"/>
    </row>
    <row r="3" spans="1:76" x14ac:dyDescent="0.25">
      <c r="A3" s="59"/>
      <c r="B3" s="59"/>
      <c r="C3" s="59"/>
      <c r="D3" s="60"/>
      <c r="E3" s="60"/>
      <c r="F3" s="61"/>
      <c r="G3" s="61"/>
      <c r="H3" s="61"/>
      <c r="I3" s="61"/>
      <c r="J3" s="61"/>
      <c r="K3" s="63"/>
      <c r="L3" s="63"/>
      <c r="M3" s="63"/>
      <c r="N3" s="63"/>
      <c r="O3" s="63"/>
      <c r="P3" s="63"/>
    </row>
    <row r="4" spans="1:76" ht="12.75" customHeight="1" x14ac:dyDescent="0.25">
      <c r="A4" s="64" t="s">
        <v>7</v>
      </c>
      <c r="B4" s="64"/>
      <c r="C4" s="64"/>
      <c r="D4" s="65" t="s">
        <v>8</v>
      </c>
      <c r="E4" s="65"/>
      <c r="F4" s="66" t="s">
        <v>9</v>
      </c>
      <c r="G4" s="66"/>
      <c r="H4" s="66"/>
      <c r="I4" s="65" t="s">
        <v>10</v>
      </c>
      <c r="J4" s="67" t="s">
        <v>11</v>
      </c>
      <c r="K4" s="67"/>
      <c r="L4" s="67"/>
      <c r="M4" s="67"/>
      <c r="N4" s="67"/>
      <c r="O4" s="67"/>
      <c r="P4" s="67"/>
    </row>
    <row r="5" spans="1:76" x14ac:dyDescent="0.25">
      <c r="A5" s="64"/>
      <c r="B5" s="64"/>
      <c r="C5" s="64"/>
      <c r="D5" s="65"/>
      <c r="E5" s="65"/>
      <c r="F5" s="66"/>
      <c r="G5" s="66"/>
      <c r="H5" s="66"/>
      <c r="I5" s="66"/>
      <c r="J5" s="66"/>
      <c r="K5" s="67"/>
      <c r="L5" s="67"/>
      <c r="M5" s="67"/>
      <c r="N5" s="67"/>
      <c r="O5" s="67"/>
      <c r="P5" s="67"/>
    </row>
    <row r="6" spans="1:76" ht="12.75" customHeight="1" x14ac:dyDescent="0.25">
      <c r="A6" s="64" t="s">
        <v>12</v>
      </c>
      <c r="B6" s="64"/>
      <c r="C6" s="64"/>
      <c r="D6" s="65" t="s">
        <v>13</v>
      </c>
      <c r="E6" s="65"/>
      <c r="F6" s="66" t="s">
        <v>14</v>
      </c>
      <c r="G6" s="66"/>
      <c r="H6" s="66" t="s">
        <v>4</v>
      </c>
      <c r="I6" s="65" t="s">
        <v>15</v>
      </c>
      <c r="J6" s="68" t="s">
        <v>16</v>
      </c>
      <c r="K6" s="68"/>
      <c r="L6" s="68"/>
      <c r="M6" s="68"/>
      <c r="N6" s="68"/>
      <c r="O6" s="68"/>
      <c r="P6" s="68"/>
    </row>
    <row r="7" spans="1:76" x14ac:dyDescent="0.25">
      <c r="A7" s="64"/>
      <c r="B7" s="64"/>
      <c r="C7" s="64"/>
      <c r="D7" s="65"/>
      <c r="E7" s="65"/>
      <c r="F7" s="66"/>
      <c r="G7" s="66"/>
      <c r="H7" s="66"/>
      <c r="I7" s="66"/>
      <c r="J7" s="66"/>
      <c r="K7" s="68"/>
      <c r="L7" s="68"/>
      <c r="M7" s="68"/>
      <c r="N7" s="68"/>
      <c r="O7" s="68"/>
      <c r="P7" s="68"/>
    </row>
    <row r="8" spans="1:76" ht="12.75" customHeight="1" x14ac:dyDescent="0.25">
      <c r="A8" s="64" t="s">
        <v>17</v>
      </c>
      <c r="B8" s="64"/>
      <c r="C8" s="64"/>
      <c r="D8" s="65" t="s">
        <v>4</v>
      </c>
      <c r="E8" s="65"/>
      <c r="F8" s="66" t="s">
        <v>18</v>
      </c>
      <c r="G8" s="66"/>
      <c r="H8" s="69">
        <v>45407</v>
      </c>
      <c r="I8" s="65" t="s">
        <v>19</v>
      </c>
      <c r="J8" s="67" t="s">
        <v>20</v>
      </c>
      <c r="K8" s="67"/>
      <c r="L8" s="67"/>
      <c r="M8" s="67"/>
      <c r="N8" s="67"/>
      <c r="O8" s="67"/>
      <c r="P8" s="67"/>
    </row>
    <row r="9" spans="1:76" x14ac:dyDescent="0.25">
      <c r="A9" s="64"/>
      <c r="B9" s="64"/>
      <c r="C9" s="64"/>
      <c r="D9" s="65"/>
      <c r="E9" s="65"/>
      <c r="F9" s="66"/>
      <c r="G9" s="66"/>
      <c r="H9" s="69"/>
      <c r="I9" s="69"/>
      <c r="J9" s="69"/>
      <c r="K9" s="67"/>
      <c r="L9" s="67"/>
      <c r="M9" s="67"/>
      <c r="N9" s="67"/>
      <c r="O9" s="67"/>
      <c r="P9" s="67"/>
    </row>
    <row r="10" spans="1:76" x14ac:dyDescent="0.25">
      <c r="A10" s="6" t="s">
        <v>21</v>
      </c>
      <c r="B10" s="7" t="s">
        <v>22</v>
      </c>
      <c r="C10" s="7" t="s">
        <v>23</v>
      </c>
      <c r="D10" s="70" t="s">
        <v>24</v>
      </c>
      <c r="E10" s="70"/>
      <c r="F10" s="7" t="s">
        <v>25</v>
      </c>
      <c r="G10" s="8" t="s">
        <v>26</v>
      </c>
      <c r="H10" s="9" t="s">
        <v>27</v>
      </c>
      <c r="I10" s="10" t="s">
        <v>28</v>
      </c>
      <c r="J10" s="71" t="s">
        <v>29</v>
      </c>
      <c r="K10" s="71"/>
      <c r="L10" s="71"/>
      <c r="M10" s="11" t="s">
        <v>29</v>
      </c>
      <c r="N10" s="72" t="s">
        <v>30</v>
      </c>
      <c r="O10" s="72"/>
      <c r="P10" s="12" t="s">
        <v>31</v>
      </c>
      <c r="BK10" s="13" t="s">
        <v>32</v>
      </c>
      <c r="BL10" s="14" t="s">
        <v>33</v>
      </c>
      <c r="BW10" s="14" t="s">
        <v>34</v>
      </c>
    </row>
    <row r="11" spans="1:76" x14ac:dyDescent="0.25">
      <c r="A11" s="15" t="s">
        <v>4</v>
      </c>
      <c r="B11" s="16" t="s">
        <v>4</v>
      </c>
      <c r="C11" s="16" t="s">
        <v>4</v>
      </c>
      <c r="D11" s="73" t="s">
        <v>35</v>
      </c>
      <c r="E11" s="73"/>
      <c r="F11" s="16" t="s">
        <v>4</v>
      </c>
      <c r="G11" s="16" t="s">
        <v>4</v>
      </c>
      <c r="H11" s="17" t="s">
        <v>36</v>
      </c>
      <c r="I11" s="18" t="s">
        <v>4</v>
      </c>
      <c r="J11" s="19" t="s">
        <v>37</v>
      </c>
      <c r="K11" s="20" t="s">
        <v>38</v>
      </c>
      <c r="L11" s="21" t="s">
        <v>39</v>
      </c>
      <c r="M11" s="21" t="s">
        <v>40</v>
      </c>
      <c r="N11" s="20" t="s">
        <v>41</v>
      </c>
      <c r="O11" s="17" t="s">
        <v>39</v>
      </c>
      <c r="P11" s="19" t="s">
        <v>42</v>
      </c>
      <c r="Z11" s="13" t="s">
        <v>43</v>
      </c>
      <c r="AA11" s="13" t="s">
        <v>44</v>
      </c>
      <c r="AB11" s="13" t="s">
        <v>45</v>
      </c>
      <c r="AC11" s="13" t="s">
        <v>46</v>
      </c>
      <c r="AD11" s="13" t="s">
        <v>47</v>
      </c>
      <c r="AE11" s="13" t="s">
        <v>48</v>
      </c>
      <c r="AF11" s="13" t="s">
        <v>49</v>
      </c>
      <c r="AG11" s="13" t="s">
        <v>50</v>
      </c>
      <c r="AH11" s="13" t="s">
        <v>51</v>
      </c>
      <c r="BH11" s="13" t="s">
        <v>52</v>
      </c>
      <c r="BI11" s="13" t="s">
        <v>53</v>
      </c>
      <c r="BJ11" s="13" t="s">
        <v>54</v>
      </c>
    </row>
    <row r="12" spans="1:76" ht="15" customHeight="1" x14ac:dyDescent="0.25">
      <c r="A12" s="22"/>
      <c r="B12" s="23"/>
      <c r="C12" s="23" t="s">
        <v>55</v>
      </c>
      <c r="D12" s="74" t="s">
        <v>56</v>
      </c>
      <c r="E12" s="74"/>
      <c r="F12" s="24" t="s">
        <v>4</v>
      </c>
      <c r="G12" s="24" t="s">
        <v>4</v>
      </c>
      <c r="H12" s="24" t="s">
        <v>4</v>
      </c>
      <c r="I12" s="24" t="s">
        <v>4</v>
      </c>
      <c r="J12" s="2">
        <f>SUM(J13:J13)</f>
        <v>0</v>
      </c>
      <c r="K12" s="2">
        <f>SUM(K13:K13)</f>
        <v>0</v>
      </c>
      <c r="L12" s="2">
        <f>SUM(L13:L13)</f>
        <v>0</v>
      </c>
      <c r="M12" s="2">
        <f>SUM(M13:M13)</f>
        <v>0</v>
      </c>
      <c r="N12" s="13"/>
      <c r="O12" s="2">
        <f>SUM(O13:O13)</f>
        <v>1.0620000000000001E-2</v>
      </c>
      <c r="P12" s="25"/>
      <c r="AI12" s="13"/>
      <c r="AS12" s="2">
        <f>SUM(AJ13:AJ13)</f>
        <v>0</v>
      </c>
      <c r="AT12" s="2">
        <f>SUM(AK13:AK13)</f>
        <v>0</v>
      </c>
      <c r="AU12" s="2">
        <f>SUM(AL13:AL13)</f>
        <v>0</v>
      </c>
    </row>
    <row r="13" spans="1:76" ht="15" customHeight="1" x14ac:dyDescent="0.25">
      <c r="A13" s="26" t="s">
        <v>57</v>
      </c>
      <c r="B13" s="4"/>
      <c r="C13" s="4" t="s">
        <v>58</v>
      </c>
      <c r="D13" s="65" t="s">
        <v>59</v>
      </c>
      <c r="E13" s="65"/>
      <c r="F13" s="4" t="s">
        <v>60</v>
      </c>
      <c r="G13" s="27">
        <v>3</v>
      </c>
      <c r="H13" s="27">
        <v>0</v>
      </c>
      <c r="I13" s="28" t="s">
        <v>61</v>
      </c>
      <c r="J13" s="27">
        <f>G13*AO13</f>
        <v>0</v>
      </c>
      <c r="K13" s="27">
        <f>G13*AP13</f>
        <v>0</v>
      </c>
      <c r="L13" s="27">
        <f>G13*H13</f>
        <v>0</v>
      </c>
      <c r="M13" s="27">
        <f>L13*(1+BW13/100)</f>
        <v>0</v>
      </c>
      <c r="N13" s="27">
        <v>3.5400000000000002E-3</v>
      </c>
      <c r="O13" s="27">
        <f>G13*N13</f>
        <v>1.0620000000000001E-2</v>
      </c>
      <c r="P13" s="29" t="s">
        <v>62</v>
      </c>
      <c r="Z13" s="27">
        <f>IF(AQ13="5",BJ13,0)</f>
        <v>0</v>
      </c>
      <c r="AB13" s="27">
        <f>IF(AQ13="1",BH13,0)</f>
        <v>0</v>
      </c>
      <c r="AC13" s="27">
        <f>IF(AQ13="1",BI13,0)</f>
        <v>0</v>
      </c>
      <c r="AD13" s="27">
        <f>IF(AQ13="7",BH13,0)</f>
        <v>0</v>
      </c>
      <c r="AE13" s="27">
        <f>IF(AQ13="7",BI13,0)</f>
        <v>0</v>
      </c>
      <c r="AF13" s="27">
        <f>IF(AQ13="2",BH13,0)</f>
        <v>0</v>
      </c>
      <c r="AG13" s="27">
        <f>IF(AQ13="2",BI13,0)</f>
        <v>0</v>
      </c>
      <c r="AH13" s="27">
        <f>IF(AQ13="0",BJ13,0)</f>
        <v>0</v>
      </c>
      <c r="AI13" s="13"/>
      <c r="AJ13" s="27">
        <f>IF(AN13=0,L13,0)</f>
        <v>0</v>
      </c>
      <c r="AK13" s="27">
        <f>IF(AN13=12,L13,0)</f>
        <v>0</v>
      </c>
      <c r="AL13" s="27">
        <f>IF(AN13=21,L13,0)</f>
        <v>0</v>
      </c>
      <c r="AN13" s="27">
        <v>21</v>
      </c>
      <c r="AO13" s="27">
        <f>H13*0.020515789</f>
        <v>0</v>
      </c>
      <c r="AP13" s="27">
        <f>H13*(1-0.020515789)</f>
        <v>0</v>
      </c>
      <c r="AQ13" s="28" t="s">
        <v>57</v>
      </c>
      <c r="AV13" s="27">
        <f>AW13+AX13</f>
        <v>0</v>
      </c>
      <c r="AW13" s="27">
        <f>G13*AO13</f>
        <v>0</v>
      </c>
      <c r="AX13" s="27">
        <f>G13*AP13</f>
        <v>0</v>
      </c>
      <c r="AY13" s="28" t="s">
        <v>63</v>
      </c>
      <c r="AZ13" s="28" t="s">
        <v>64</v>
      </c>
      <c r="BA13" s="13" t="s">
        <v>65</v>
      </c>
      <c r="BC13" s="27">
        <f>AW13+AX13</f>
        <v>0</v>
      </c>
      <c r="BD13" s="27">
        <f>H13/(100-BE13)*100</f>
        <v>0</v>
      </c>
      <c r="BE13" s="27">
        <v>0</v>
      </c>
      <c r="BF13" s="27">
        <f>O13</f>
        <v>1.0620000000000001E-2</v>
      </c>
      <c r="BH13" s="27">
        <f>G13*AO13</f>
        <v>0</v>
      </c>
      <c r="BI13" s="27">
        <f>G13*AP13</f>
        <v>0</v>
      </c>
      <c r="BJ13" s="27">
        <f>G13*H13</f>
        <v>0</v>
      </c>
      <c r="BK13" s="27"/>
      <c r="BL13" s="27">
        <v>12</v>
      </c>
      <c r="BW13" s="27" t="str">
        <f>I13</f>
        <v>21</v>
      </c>
      <c r="BX13" s="3" t="s">
        <v>59</v>
      </c>
    </row>
    <row r="14" spans="1:76" ht="15" customHeight="1" x14ac:dyDescent="0.25">
      <c r="A14" s="22"/>
      <c r="B14" s="23"/>
      <c r="C14" s="23" t="s">
        <v>66</v>
      </c>
      <c r="D14" s="74" t="s">
        <v>67</v>
      </c>
      <c r="E14" s="74"/>
      <c r="F14" s="24" t="s">
        <v>4</v>
      </c>
      <c r="G14" s="24" t="s">
        <v>4</v>
      </c>
      <c r="H14" s="24" t="s">
        <v>4</v>
      </c>
      <c r="I14" s="24" t="s">
        <v>4</v>
      </c>
      <c r="J14" s="2">
        <f>SUM(J15:J15)</f>
        <v>0</v>
      </c>
      <c r="K14" s="2">
        <f>SUM(K15:K15)</f>
        <v>0</v>
      </c>
      <c r="L14" s="2">
        <f>SUM(L15:L15)</f>
        <v>0</v>
      </c>
      <c r="M14" s="2">
        <f>SUM(M15:M15)</f>
        <v>0</v>
      </c>
      <c r="N14" s="13"/>
      <c r="O14" s="2">
        <f>SUM(O15:O15)</f>
        <v>2.7200000000000002E-2</v>
      </c>
      <c r="P14" s="25"/>
      <c r="AI14" s="13"/>
      <c r="AS14" s="2">
        <f>SUM(AJ15:AJ15)</f>
        <v>0</v>
      </c>
      <c r="AT14" s="2">
        <f>SUM(AK15:AK15)</f>
        <v>0</v>
      </c>
      <c r="AU14" s="2">
        <f>SUM(AL15:AL15)</f>
        <v>0</v>
      </c>
    </row>
    <row r="15" spans="1:76" ht="15" customHeight="1" x14ac:dyDescent="0.25">
      <c r="A15" s="26" t="s">
        <v>68</v>
      </c>
      <c r="B15" s="4"/>
      <c r="C15" s="4" t="s">
        <v>69</v>
      </c>
      <c r="D15" s="65" t="s">
        <v>70</v>
      </c>
      <c r="E15" s="65"/>
      <c r="F15" s="4" t="s">
        <v>71</v>
      </c>
      <c r="G15" s="27">
        <v>10</v>
      </c>
      <c r="H15" s="27">
        <v>0</v>
      </c>
      <c r="I15" s="28" t="s">
        <v>61</v>
      </c>
      <c r="J15" s="27">
        <f>G15*AO15</f>
        <v>0</v>
      </c>
      <c r="K15" s="27">
        <f>G15*AP15</f>
        <v>0</v>
      </c>
      <c r="L15" s="27">
        <f>G15*H15</f>
        <v>0</v>
      </c>
      <c r="M15" s="27">
        <f>L15*(1+BW15/100)</f>
        <v>0</v>
      </c>
      <c r="N15" s="27">
        <v>2.7200000000000002E-3</v>
      </c>
      <c r="O15" s="27">
        <f>G15*N15</f>
        <v>2.7200000000000002E-2</v>
      </c>
      <c r="P15" s="29" t="s">
        <v>62</v>
      </c>
      <c r="Z15" s="27">
        <f>IF(AQ15="5",BJ15,0)</f>
        <v>0</v>
      </c>
      <c r="AB15" s="27">
        <f>IF(AQ15="1",BH15,0)</f>
        <v>0</v>
      </c>
      <c r="AC15" s="27">
        <f>IF(AQ15="1",BI15,0)</f>
        <v>0</v>
      </c>
      <c r="AD15" s="27">
        <f>IF(AQ15="7",BH15,0)</f>
        <v>0</v>
      </c>
      <c r="AE15" s="27">
        <f>IF(AQ15="7",BI15,0)</f>
        <v>0</v>
      </c>
      <c r="AF15" s="27">
        <f>IF(AQ15="2",BH15,0)</f>
        <v>0</v>
      </c>
      <c r="AG15" s="27">
        <f>IF(AQ15="2",BI15,0)</f>
        <v>0</v>
      </c>
      <c r="AH15" s="27">
        <f>IF(AQ15="0",BJ15,0)</f>
        <v>0</v>
      </c>
      <c r="AI15" s="13"/>
      <c r="AJ15" s="27">
        <f>IF(AN15=0,L15,0)</f>
        <v>0</v>
      </c>
      <c r="AK15" s="27">
        <f>IF(AN15=12,L15,0)</f>
        <v>0</v>
      </c>
      <c r="AL15" s="27">
        <f>IF(AN15=21,L15,0)</f>
        <v>0</v>
      </c>
      <c r="AN15" s="27">
        <v>21</v>
      </c>
      <c r="AO15" s="27">
        <f>H15*0.741535745</f>
        <v>0</v>
      </c>
      <c r="AP15" s="27">
        <f>H15*(1-0.741535745)</f>
        <v>0</v>
      </c>
      <c r="AQ15" s="28" t="s">
        <v>57</v>
      </c>
      <c r="AV15" s="27">
        <f>AW15+AX15</f>
        <v>0</v>
      </c>
      <c r="AW15" s="27">
        <f>G15*AO15</f>
        <v>0</v>
      </c>
      <c r="AX15" s="27">
        <f>G15*AP15</f>
        <v>0</v>
      </c>
      <c r="AY15" s="28" t="s">
        <v>72</v>
      </c>
      <c r="AZ15" s="28" t="s">
        <v>73</v>
      </c>
      <c r="BA15" s="13" t="s">
        <v>65</v>
      </c>
      <c r="BC15" s="27">
        <f>AW15+AX15</f>
        <v>0</v>
      </c>
      <c r="BD15" s="27">
        <f>H15/(100-BE15)*100</f>
        <v>0</v>
      </c>
      <c r="BE15" s="27">
        <v>0</v>
      </c>
      <c r="BF15" s="27">
        <f>O15</f>
        <v>2.7200000000000002E-2</v>
      </c>
      <c r="BH15" s="27">
        <f>G15*AO15</f>
        <v>0</v>
      </c>
      <c r="BI15" s="27">
        <f>G15*AP15</f>
        <v>0</v>
      </c>
      <c r="BJ15" s="27">
        <f>G15*H15</f>
        <v>0</v>
      </c>
      <c r="BK15" s="27"/>
      <c r="BL15" s="27">
        <v>31</v>
      </c>
      <c r="BW15" s="27" t="str">
        <f>I15</f>
        <v>21</v>
      </c>
      <c r="BX15" s="3" t="s">
        <v>70</v>
      </c>
    </row>
    <row r="16" spans="1:76" ht="12.75" customHeight="1" x14ac:dyDescent="0.25">
      <c r="A16" s="22"/>
      <c r="B16" s="23"/>
      <c r="C16" s="23" t="s">
        <v>74</v>
      </c>
      <c r="D16" s="74" t="s">
        <v>75</v>
      </c>
      <c r="E16" s="74"/>
      <c r="F16" s="24" t="s">
        <v>4</v>
      </c>
      <c r="G16" s="24" t="s">
        <v>4</v>
      </c>
      <c r="H16" s="24" t="s">
        <v>4</v>
      </c>
      <c r="I16" s="24" t="s">
        <v>4</v>
      </c>
      <c r="J16" s="2">
        <f>SUM(J17:J18)</f>
        <v>0</v>
      </c>
      <c r="K16" s="2">
        <f>SUM(K17:K18)</f>
        <v>0</v>
      </c>
      <c r="L16" s="2">
        <f>SUM(L17:L18)</f>
        <v>0</v>
      </c>
      <c r="M16" s="2">
        <f>SUM(M17:M18)</f>
        <v>0</v>
      </c>
      <c r="N16" s="13"/>
      <c r="O16" s="2">
        <f>SUM(O17:O18)</f>
        <v>0.35277999999999998</v>
      </c>
      <c r="P16" s="25"/>
      <c r="AI16" s="13"/>
      <c r="AS16" s="2">
        <f>SUM(AJ17:AJ18)</f>
        <v>0</v>
      </c>
      <c r="AT16" s="2">
        <f>SUM(AK17:AK18)</f>
        <v>0</v>
      </c>
      <c r="AU16" s="2">
        <f>SUM(AL17:AL18)</f>
        <v>0</v>
      </c>
    </row>
    <row r="17" spans="1:76" ht="12.75" customHeight="1" x14ac:dyDescent="0.25">
      <c r="A17" s="26" t="s">
        <v>76</v>
      </c>
      <c r="B17" s="4"/>
      <c r="C17" s="4" t="s">
        <v>77</v>
      </c>
      <c r="D17" s="65" t="s">
        <v>78</v>
      </c>
      <c r="E17" s="65"/>
      <c r="F17" s="4" t="s">
        <v>71</v>
      </c>
      <c r="G17" s="27">
        <v>1</v>
      </c>
      <c r="H17" s="27">
        <v>0</v>
      </c>
      <c r="I17" s="28" t="s">
        <v>61</v>
      </c>
      <c r="J17" s="27">
        <f>G17*AO17</f>
        <v>0</v>
      </c>
      <c r="K17" s="27">
        <f>G17*AP17</f>
        <v>0</v>
      </c>
      <c r="L17" s="27">
        <f>G17*H17</f>
        <v>0</v>
      </c>
      <c r="M17" s="27">
        <f>L17*(1+BW17/100)</f>
        <v>0</v>
      </c>
      <c r="N17" s="27">
        <v>7.3480000000000004E-2</v>
      </c>
      <c r="O17" s="27">
        <f>G17*N17</f>
        <v>7.3480000000000004E-2</v>
      </c>
      <c r="P17" s="29" t="s">
        <v>62</v>
      </c>
      <c r="Z17" s="27">
        <f>IF(AQ17="5",BJ17,0)</f>
        <v>0</v>
      </c>
      <c r="AB17" s="27">
        <f>IF(AQ17="1",BH17,0)</f>
        <v>0</v>
      </c>
      <c r="AC17" s="27">
        <f>IF(AQ17="1",BI17,0)</f>
        <v>0</v>
      </c>
      <c r="AD17" s="27">
        <f>IF(AQ17="7",BH17,0)</f>
        <v>0</v>
      </c>
      <c r="AE17" s="27">
        <f>IF(AQ17="7",BI17,0)</f>
        <v>0</v>
      </c>
      <c r="AF17" s="27">
        <f>IF(AQ17="2",BH17,0)</f>
        <v>0</v>
      </c>
      <c r="AG17" s="27">
        <f>IF(AQ17="2",BI17,0)</f>
        <v>0</v>
      </c>
      <c r="AH17" s="27">
        <f>IF(AQ17="0",BJ17,0)</f>
        <v>0</v>
      </c>
      <c r="AI17" s="13"/>
      <c r="AJ17" s="27">
        <f>IF(AN17=0,L17,0)</f>
        <v>0</v>
      </c>
      <c r="AK17" s="27">
        <f>IF(AN17=12,L17,0)</f>
        <v>0</v>
      </c>
      <c r="AL17" s="27">
        <f>IF(AN17=21,L17,0)</f>
        <v>0</v>
      </c>
      <c r="AN17" s="27">
        <v>21</v>
      </c>
      <c r="AO17" s="27">
        <f>H17*0.319265306</f>
        <v>0</v>
      </c>
      <c r="AP17" s="27">
        <f>H17*(1-0.319265306)</f>
        <v>0</v>
      </c>
      <c r="AQ17" s="28" t="s">
        <v>57</v>
      </c>
      <c r="AV17" s="27">
        <f>AW17+AX17</f>
        <v>0</v>
      </c>
      <c r="AW17" s="27">
        <f>G17*AO17</f>
        <v>0</v>
      </c>
      <c r="AX17" s="27">
        <f>G17*AP17</f>
        <v>0</v>
      </c>
      <c r="AY17" s="28" t="s">
        <v>79</v>
      </c>
      <c r="AZ17" s="28" t="s">
        <v>73</v>
      </c>
      <c r="BA17" s="13" t="s">
        <v>65</v>
      </c>
      <c r="BC17" s="27">
        <f>AW17+AX17</f>
        <v>0</v>
      </c>
      <c r="BD17" s="27">
        <f>H17/(100-BE17)*100</f>
        <v>0</v>
      </c>
      <c r="BE17" s="27">
        <v>0</v>
      </c>
      <c r="BF17" s="27">
        <f>O17</f>
        <v>7.3480000000000004E-2</v>
      </c>
      <c r="BH17" s="27">
        <f>G17*AO17</f>
        <v>0</v>
      </c>
      <c r="BI17" s="27">
        <f>G17*AP17</f>
        <v>0</v>
      </c>
      <c r="BJ17" s="27">
        <f>G17*H17</f>
        <v>0</v>
      </c>
      <c r="BK17" s="27"/>
      <c r="BL17" s="27">
        <v>34</v>
      </c>
      <c r="BW17" s="27" t="str">
        <f>I17</f>
        <v>21</v>
      </c>
      <c r="BX17" s="3" t="s">
        <v>78</v>
      </c>
    </row>
    <row r="18" spans="1:76" ht="15" customHeight="1" x14ac:dyDescent="0.25">
      <c r="A18" s="26" t="s">
        <v>80</v>
      </c>
      <c r="B18" s="4"/>
      <c r="C18" s="4" t="s">
        <v>81</v>
      </c>
      <c r="D18" s="65" t="s">
        <v>82</v>
      </c>
      <c r="E18" s="65"/>
      <c r="F18" s="4" t="s">
        <v>83</v>
      </c>
      <c r="G18" s="27">
        <v>1</v>
      </c>
      <c r="H18" s="27">
        <v>0</v>
      </c>
      <c r="I18" s="28" t="s">
        <v>61</v>
      </c>
      <c r="J18" s="27">
        <f>G18*AO18</f>
        <v>0</v>
      </c>
      <c r="K18" s="27">
        <f>G18*AP18</f>
        <v>0</v>
      </c>
      <c r="L18" s="27">
        <f>G18*H18</f>
        <v>0</v>
      </c>
      <c r="M18" s="27">
        <f>L18*(1+BW18/100)</f>
        <v>0</v>
      </c>
      <c r="N18" s="27">
        <v>0.27929999999999999</v>
      </c>
      <c r="O18" s="27">
        <f>G18*N18</f>
        <v>0.27929999999999999</v>
      </c>
      <c r="P18" s="29" t="s">
        <v>62</v>
      </c>
      <c r="Z18" s="27">
        <f>IF(AQ18="5",BJ18,0)</f>
        <v>0</v>
      </c>
      <c r="AB18" s="27">
        <f>IF(AQ18="1",BH18,0)</f>
        <v>0</v>
      </c>
      <c r="AC18" s="27">
        <f>IF(AQ18="1",BI18,0)</f>
        <v>0</v>
      </c>
      <c r="AD18" s="27">
        <f>IF(AQ18="7",BH18,0)</f>
        <v>0</v>
      </c>
      <c r="AE18" s="27">
        <f>IF(AQ18="7",BI18,0)</f>
        <v>0</v>
      </c>
      <c r="AF18" s="27">
        <f>IF(AQ18="2",BH18,0)</f>
        <v>0</v>
      </c>
      <c r="AG18" s="27">
        <f>IF(AQ18="2",BI18,0)</f>
        <v>0</v>
      </c>
      <c r="AH18" s="27">
        <f>IF(AQ18="0",BJ18,0)</f>
        <v>0</v>
      </c>
      <c r="AI18" s="13"/>
      <c r="AJ18" s="27">
        <f>IF(AN18=0,L18,0)</f>
        <v>0</v>
      </c>
      <c r="AK18" s="27">
        <f>IF(AN18=12,L18,0)</f>
        <v>0</v>
      </c>
      <c r="AL18" s="27">
        <f>IF(AN18=21,L18,0)</f>
        <v>0</v>
      </c>
      <c r="AN18" s="27">
        <v>21</v>
      </c>
      <c r="AO18" s="27">
        <f>H18*0.558282258</f>
        <v>0</v>
      </c>
      <c r="AP18" s="27">
        <f>H18*(1-0.558282258)</f>
        <v>0</v>
      </c>
      <c r="AQ18" s="28" t="s">
        <v>57</v>
      </c>
      <c r="AV18" s="27">
        <f>AW18+AX18</f>
        <v>0</v>
      </c>
      <c r="AW18" s="27">
        <f>G18*AO18</f>
        <v>0</v>
      </c>
      <c r="AX18" s="27">
        <f>G18*AP18</f>
        <v>0</v>
      </c>
      <c r="AY18" s="28" t="s">
        <v>79</v>
      </c>
      <c r="AZ18" s="28" t="s">
        <v>73</v>
      </c>
      <c r="BA18" s="13" t="s">
        <v>65</v>
      </c>
      <c r="BC18" s="27">
        <f>AW18+AX18</f>
        <v>0</v>
      </c>
      <c r="BD18" s="27">
        <f>H18/(100-BE18)*100</f>
        <v>0</v>
      </c>
      <c r="BE18" s="27">
        <v>0</v>
      </c>
      <c r="BF18" s="27">
        <f>O18</f>
        <v>0.27929999999999999</v>
      </c>
      <c r="BH18" s="27">
        <f>G18*AO18</f>
        <v>0</v>
      </c>
      <c r="BI18" s="27">
        <f>G18*AP18</f>
        <v>0</v>
      </c>
      <c r="BJ18" s="27">
        <f>G18*H18</f>
        <v>0</v>
      </c>
      <c r="BK18" s="27"/>
      <c r="BL18" s="27">
        <v>34</v>
      </c>
      <c r="BW18" s="27" t="str">
        <f>I18</f>
        <v>21</v>
      </c>
      <c r="BX18" s="3" t="s">
        <v>82</v>
      </c>
    </row>
    <row r="19" spans="1:76" ht="15" customHeight="1" x14ac:dyDescent="0.25">
      <c r="A19" s="22"/>
      <c r="B19" s="23"/>
      <c r="C19" s="23" t="s">
        <v>84</v>
      </c>
      <c r="D19" s="74" t="s">
        <v>85</v>
      </c>
      <c r="E19" s="74"/>
      <c r="F19" s="24" t="s">
        <v>4</v>
      </c>
      <c r="G19" s="24" t="s">
        <v>4</v>
      </c>
      <c r="H19" s="24" t="s">
        <v>4</v>
      </c>
      <c r="I19" s="24" t="s">
        <v>4</v>
      </c>
      <c r="J19" s="2">
        <f>SUM(J20:J22)</f>
        <v>0</v>
      </c>
      <c r="K19" s="2">
        <f>SUM(K20:K22)</f>
        <v>0</v>
      </c>
      <c r="L19" s="2">
        <f>SUM(L20:L22)</f>
        <v>0</v>
      </c>
      <c r="M19" s="2">
        <f>SUM(M20:M22)</f>
        <v>0</v>
      </c>
      <c r="N19" s="13"/>
      <c r="O19" s="2">
        <f>SUM(O20:O22)</f>
        <v>21.160000000000004</v>
      </c>
      <c r="P19" s="25"/>
      <c r="AI19" s="13"/>
      <c r="AS19" s="2">
        <f>SUM(AJ20:AJ22)</f>
        <v>0</v>
      </c>
      <c r="AT19" s="2">
        <f>SUM(AK20:AK22)</f>
        <v>0</v>
      </c>
      <c r="AU19" s="2">
        <f>SUM(AL20:AL22)</f>
        <v>0</v>
      </c>
    </row>
    <row r="20" spans="1:76" ht="15" customHeight="1" x14ac:dyDescent="0.25">
      <c r="A20" s="26" t="s">
        <v>86</v>
      </c>
      <c r="B20" s="4"/>
      <c r="C20" s="4" t="s">
        <v>87</v>
      </c>
      <c r="D20" s="65" t="s">
        <v>88</v>
      </c>
      <c r="E20" s="65"/>
      <c r="F20" s="4" t="s">
        <v>83</v>
      </c>
      <c r="G20" s="27">
        <v>170</v>
      </c>
      <c r="H20" s="27">
        <v>0</v>
      </c>
      <c r="I20" s="28" t="s">
        <v>61</v>
      </c>
      <c r="J20" s="27">
        <f>G20*AO20</f>
        <v>0</v>
      </c>
      <c r="K20" s="27">
        <f>G20*AP20</f>
        <v>0</v>
      </c>
      <c r="L20" s="27">
        <f>G20*H20</f>
        <v>0</v>
      </c>
      <c r="M20" s="27">
        <f>L20*(1+BW20/100)</f>
        <v>0</v>
      </c>
      <c r="N20" s="27">
        <v>0</v>
      </c>
      <c r="O20" s="27">
        <f>G20*N20</f>
        <v>0</v>
      </c>
      <c r="P20" s="29" t="s">
        <v>62</v>
      </c>
      <c r="Z20" s="27">
        <f>IF(AQ20="5",BJ20,0)</f>
        <v>0</v>
      </c>
      <c r="AB20" s="27">
        <f>IF(AQ20="1",BH20,0)</f>
        <v>0</v>
      </c>
      <c r="AC20" s="27">
        <f>IF(AQ20="1",BI20,0)</f>
        <v>0</v>
      </c>
      <c r="AD20" s="27">
        <f>IF(AQ20="7",BH20,0)</f>
        <v>0</v>
      </c>
      <c r="AE20" s="27">
        <f>IF(AQ20="7",BI20,0)</f>
        <v>0</v>
      </c>
      <c r="AF20" s="27">
        <f>IF(AQ20="2",BH20,0)</f>
        <v>0</v>
      </c>
      <c r="AG20" s="27">
        <f>IF(AQ20="2",BI20,0)</f>
        <v>0</v>
      </c>
      <c r="AH20" s="27">
        <f>IF(AQ20="0",BJ20,0)</f>
        <v>0</v>
      </c>
      <c r="AI20" s="13"/>
      <c r="AJ20" s="27">
        <f>IF(AN20=0,L20,0)</f>
        <v>0</v>
      </c>
      <c r="AK20" s="27">
        <f>IF(AN20=12,L20,0)</f>
        <v>0</v>
      </c>
      <c r="AL20" s="27">
        <f>IF(AN20=21,L20,0)</f>
        <v>0</v>
      </c>
      <c r="AN20" s="27">
        <v>21</v>
      </c>
      <c r="AO20" s="27">
        <f>H20*0</f>
        <v>0</v>
      </c>
      <c r="AP20" s="27">
        <f>H20*(1-0)</f>
        <v>0</v>
      </c>
      <c r="AQ20" s="28" t="s">
        <v>57</v>
      </c>
      <c r="AV20" s="27">
        <f>AW20+AX20</f>
        <v>0</v>
      </c>
      <c r="AW20" s="27">
        <f>G20*AO20</f>
        <v>0</v>
      </c>
      <c r="AX20" s="27">
        <f>G20*AP20</f>
        <v>0</v>
      </c>
      <c r="AY20" s="28" t="s">
        <v>89</v>
      </c>
      <c r="AZ20" s="28" t="s">
        <v>90</v>
      </c>
      <c r="BA20" s="13" t="s">
        <v>65</v>
      </c>
      <c r="BC20" s="27">
        <f>AW20+AX20</f>
        <v>0</v>
      </c>
      <c r="BD20" s="27">
        <f>H20/(100-BE20)*100</f>
        <v>0</v>
      </c>
      <c r="BE20" s="27">
        <v>0</v>
      </c>
      <c r="BF20" s="27">
        <f>O20</f>
        <v>0</v>
      </c>
      <c r="BH20" s="27">
        <f>G20*AO20</f>
        <v>0</v>
      </c>
      <c r="BI20" s="27">
        <f>G20*AP20</f>
        <v>0</v>
      </c>
      <c r="BJ20" s="27">
        <f>G20*H20</f>
        <v>0</v>
      </c>
      <c r="BK20" s="27"/>
      <c r="BL20" s="27">
        <v>56</v>
      </c>
      <c r="BW20" s="27" t="str">
        <f>I20</f>
        <v>21</v>
      </c>
      <c r="BX20" s="3" t="s">
        <v>88</v>
      </c>
    </row>
    <row r="21" spans="1:76" ht="15" customHeight="1" x14ac:dyDescent="0.25">
      <c r="A21" s="26" t="s">
        <v>91</v>
      </c>
      <c r="B21" s="4"/>
      <c r="C21" s="4" t="s">
        <v>92</v>
      </c>
      <c r="D21" s="65" t="s">
        <v>93</v>
      </c>
      <c r="E21" s="65"/>
      <c r="F21" s="4" t="s">
        <v>83</v>
      </c>
      <c r="G21" s="27">
        <v>59</v>
      </c>
      <c r="H21" s="27">
        <v>0</v>
      </c>
      <c r="I21" s="28" t="s">
        <v>61</v>
      </c>
      <c r="J21" s="27">
        <f>G21*AO21</f>
        <v>0</v>
      </c>
      <c r="K21" s="27">
        <f>G21*AP21</f>
        <v>0</v>
      </c>
      <c r="L21" s="27">
        <f>G21*H21</f>
        <v>0</v>
      </c>
      <c r="M21" s="27">
        <f>L21*(1+BW21/100)</f>
        <v>0</v>
      </c>
      <c r="N21" s="27">
        <v>0.115</v>
      </c>
      <c r="O21" s="27">
        <f>G21*N21</f>
        <v>6.7850000000000001</v>
      </c>
      <c r="P21" s="29" t="s">
        <v>62</v>
      </c>
      <c r="Z21" s="27">
        <f>IF(AQ21="5",BJ21,0)</f>
        <v>0</v>
      </c>
      <c r="AB21" s="27">
        <f>IF(AQ21="1",BH21,0)</f>
        <v>0</v>
      </c>
      <c r="AC21" s="27">
        <f>IF(AQ21="1",BI21,0)</f>
        <v>0</v>
      </c>
      <c r="AD21" s="27">
        <f>IF(AQ21="7",BH21,0)</f>
        <v>0</v>
      </c>
      <c r="AE21" s="27">
        <f>IF(AQ21="7",BI21,0)</f>
        <v>0</v>
      </c>
      <c r="AF21" s="27">
        <f>IF(AQ21="2",BH21,0)</f>
        <v>0</v>
      </c>
      <c r="AG21" s="27">
        <f>IF(AQ21="2",BI21,0)</f>
        <v>0</v>
      </c>
      <c r="AH21" s="27">
        <f>IF(AQ21="0",BJ21,0)</f>
        <v>0</v>
      </c>
      <c r="AI21" s="13"/>
      <c r="AJ21" s="27">
        <f>IF(AN21=0,L21,0)</f>
        <v>0</v>
      </c>
      <c r="AK21" s="27">
        <f>IF(AN21=12,L21,0)</f>
        <v>0</v>
      </c>
      <c r="AL21" s="27">
        <f>IF(AN21=21,L21,0)</f>
        <v>0</v>
      </c>
      <c r="AN21" s="27">
        <v>21</v>
      </c>
      <c r="AO21" s="27">
        <f>H21*0.775588235</f>
        <v>0</v>
      </c>
      <c r="AP21" s="27">
        <f>H21*(1-0.775588235)</f>
        <v>0</v>
      </c>
      <c r="AQ21" s="28" t="s">
        <v>57</v>
      </c>
      <c r="AV21" s="27">
        <f>AW21+AX21</f>
        <v>0</v>
      </c>
      <c r="AW21" s="27">
        <f>G21*AO21</f>
        <v>0</v>
      </c>
      <c r="AX21" s="27">
        <f>G21*AP21</f>
        <v>0</v>
      </c>
      <c r="AY21" s="28" t="s">
        <v>89</v>
      </c>
      <c r="AZ21" s="28" t="s">
        <v>90</v>
      </c>
      <c r="BA21" s="13" t="s">
        <v>65</v>
      </c>
      <c r="BC21" s="27">
        <f>AW21+AX21</f>
        <v>0</v>
      </c>
      <c r="BD21" s="27">
        <f>H21/(100-BE21)*100</f>
        <v>0</v>
      </c>
      <c r="BE21" s="27">
        <v>0</v>
      </c>
      <c r="BF21" s="27">
        <f>O21</f>
        <v>6.7850000000000001</v>
      </c>
      <c r="BH21" s="27">
        <f>G21*AO21</f>
        <v>0</v>
      </c>
      <c r="BI21" s="27">
        <f>G21*AP21</f>
        <v>0</v>
      </c>
      <c r="BJ21" s="27">
        <f>G21*H21</f>
        <v>0</v>
      </c>
      <c r="BK21" s="27"/>
      <c r="BL21" s="27">
        <v>56</v>
      </c>
      <c r="BW21" s="27" t="str">
        <f>I21</f>
        <v>21</v>
      </c>
      <c r="BX21" s="3" t="s">
        <v>93</v>
      </c>
    </row>
    <row r="22" spans="1:76" ht="15" customHeight="1" x14ac:dyDescent="0.25">
      <c r="A22" s="26" t="s">
        <v>94</v>
      </c>
      <c r="B22" s="4"/>
      <c r="C22" s="4" t="s">
        <v>95</v>
      </c>
      <c r="D22" s="65" t="s">
        <v>96</v>
      </c>
      <c r="E22" s="65"/>
      <c r="F22" s="4" t="s">
        <v>83</v>
      </c>
      <c r="G22" s="27">
        <v>25</v>
      </c>
      <c r="H22" s="27">
        <v>0</v>
      </c>
      <c r="I22" s="28" t="s">
        <v>61</v>
      </c>
      <c r="J22" s="27">
        <f>G22*AO22</f>
        <v>0</v>
      </c>
      <c r="K22" s="27">
        <f>G22*AP22</f>
        <v>0</v>
      </c>
      <c r="L22" s="27">
        <f>G22*H22</f>
        <v>0</v>
      </c>
      <c r="M22" s="27">
        <f>L22*(1+BW22/100)</f>
        <v>0</v>
      </c>
      <c r="N22" s="27">
        <v>0.57500000000000007</v>
      </c>
      <c r="O22" s="27">
        <f>G22*N22</f>
        <v>14.375000000000002</v>
      </c>
      <c r="P22" s="29" t="s">
        <v>62</v>
      </c>
      <c r="Z22" s="27">
        <f>IF(AQ22="5",BJ22,0)</f>
        <v>0</v>
      </c>
      <c r="AB22" s="27">
        <f>IF(AQ22="1",BH22,0)</f>
        <v>0</v>
      </c>
      <c r="AC22" s="27">
        <f>IF(AQ22="1",BI22,0)</f>
        <v>0</v>
      </c>
      <c r="AD22" s="27">
        <f>IF(AQ22="7",BH22,0)</f>
        <v>0</v>
      </c>
      <c r="AE22" s="27">
        <f>IF(AQ22="7",BI22,0)</f>
        <v>0</v>
      </c>
      <c r="AF22" s="27">
        <f>IF(AQ22="2",BH22,0)</f>
        <v>0</v>
      </c>
      <c r="AG22" s="27">
        <f>IF(AQ22="2",BI22,0)</f>
        <v>0</v>
      </c>
      <c r="AH22" s="27">
        <f>IF(AQ22="0",BJ22,0)</f>
        <v>0</v>
      </c>
      <c r="AI22" s="13"/>
      <c r="AJ22" s="27">
        <f>IF(AN22=0,L22,0)</f>
        <v>0</v>
      </c>
      <c r="AK22" s="27">
        <f>IF(AN22=12,L22,0)</f>
        <v>0</v>
      </c>
      <c r="AL22" s="27">
        <f>IF(AN22=21,L22,0)</f>
        <v>0</v>
      </c>
      <c r="AN22" s="27">
        <v>21</v>
      </c>
      <c r="AO22" s="27">
        <f>H22*0.915001977</f>
        <v>0</v>
      </c>
      <c r="AP22" s="27">
        <f>H22*(1-0.915001977)</f>
        <v>0</v>
      </c>
      <c r="AQ22" s="28" t="s">
        <v>57</v>
      </c>
      <c r="AV22" s="27">
        <f>AW22+AX22</f>
        <v>0</v>
      </c>
      <c r="AW22" s="27">
        <f>G22*AO22</f>
        <v>0</v>
      </c>
      <c r="AX22" s="27">
        <f>G22*AP22</f>
        <v>0</v>
      </c>
      <c r="AY22" s="28" t="s">
        <v>89</v>
      </c>
      <c r="AZ22" s="28" t="s">
        <v>90</v>
      </c>
      <c r="BA22" s="13" t="s">
        <v>65</v>
      </c>
      <c r="BC22" s="27">
        <f>AW22+AX22</f>
        <v>0</v>
      </c>
      <c r="BD22" s="27">
        <f>H22/(100-BE22)*100</f>
        <v>0</v>
      </c>
      <c r="BE22" s="27">
        <v>0</v>
      </c>
      <c r="BF22" s="27">
        <f>O22</f>
        <v>14.375000000000002</v>
      </c>
      <c r="BH22" s="27">
        <f>G22*AO22</f>
        <v>0</v>
      </c>
      <c r="BI22" s="27">
        <f>G22*AP22</f>
        <v>0</v>
      </c>
      <c r="BJ22" s="27">
        <f>G22*H22</f>
        <v>0</v>
      </c>
      <c r="BK22" s="27"/>
      <c r="BL22" s="27">
        <v>56</v>
      </c>
      <c r="BW22" s="27" t="str">
        <f>I22</f>
        <v>21</v>
      </c>
      <c r="BX22" s="3" t="s">
        <v>96</v>
      </c>
    </row>
    <row r="23" spans="1:76" ht="15" customHeight="1" x14ac:dyDescent="0.25">
      <c r="A23" s="22"/>
      <c r="B23" s="23"/>
      <c r="C23" s="23" t="s">
        <v>97</v>
      </c>
      <c r="D23" s="74" t="s">
        <v>98</v>
      </c>
      <c r="E23" s="74"/>
      <c r="F23" s="24" t="s">
        <v>4</v>
      </c>
      <c r="G23" s="24" t="s">
        <v>4</v>
      </c>
      <c r="H23" s="24" t="s">
        <v>4</v>
      </c>
      <c r="I23" s="24" t="s">
        <v>4</v>
      </c>
      <c r="J23" s="2">
        <f>SUM(J24:J26)</f>
        <v>0</v>
      </c>
      <c r="K23" s="2">
        <f>SUM(K24:K26)</f>
        <v>0</v>
      </c>
      <c r="L23" s="2">
        <f>SUM(L24:L26)</f>
        <v>0</v>
      </c>
      <c r="M23" s="2">
        <f>SUM(M24:M26)</f>
        <v>0</v>
      </c>
      <c r="N23" s="13"/>
      <c r="O23" s="2">
        <f>SUM(O24:O26)</f>
        <v>1.36144</v>
      </c>
      <c r="P23" s="25"/>
      <c r="AI23" s="13"/>
      <c r="AS23" s="2">
        <f>SUM(AJ24:AJ26)</f>
        <v>0</v>
      </c>
      <c r="AT23" s="2">
        <f>SUM(AK24:AK26)</f>
        <v>0</v>
      </c>
      <c r="AU23" s="2">
        <f>SUM(AL24:AL26)</f>
        <v>0</v>
      </c>
    </row>
    <row r="24" spans="1:76" ht="15" customHeight="1" x14ac:dyDescent="0.25">
      <c r="A24" s="26" t="s">
        <v>99</v>
      </c>
      <c r="B24" s="4"/>
      <c r="C24" s="4" t="s">
        <v>100</v>
      </c>
      <c r="D24" s="65" t="s">
        <v>101</v>
      </c>
      <c r="E24" s="65"/>
      <c r="F24" s="4" t="s">
        <v>71</v>
      </c>
      <c r="G24" s="27">
        <v>5</v>
      </c>
      <c r="H24" s="27">
        <v>0</v>
      </c>
      <c r="I24" s="28" t="s">
        <v>61</v>
      </c>
      <c r="J24" s="27">
        <f>G24*AO24</f>
        <v>0</v>
      </c>
      <c r="K24" s="27">
        <f>G24*AP24</f>
        <v>0</v>
      </c>
      <c r="L24" s="27">
        <f>G24*H24</f>
        <v>0</v>
      </c>
      <c r="M24" s="27">
        <f>L24*(1+BW24/100)</f>
        <v>0</v>
      </c>
      <c r="N24" s="27">
        <v>2.6000000000000003E-3</v>
      </c>
      <c r="O24" s="27">
        <f>G24*N24</f>
        <v>1.3000000000000001E-2</v>
      </c>
      <c r="P24" s="29" t="s">
        <v>62</v>
      </c>
      <c r="Z24" s="27">
        <f>IF(AQ24="5",BJ24,0)</f>
        <v>0</v>
      </c>
      <c r="AB24" s="27">
        <f>IF(AQ24="1",BH24,0)</f>
        <v>0</v>
      </c>
      <c r="AC24" s="27">
        <f>IF(AQ24="1",BI24,0)</f>
        <v>0</v>
      </c>
      <c r="AD24" s="27">
        <f>IF(AQ24="7",BH24,0)</f>
        <v>0</v>
      </c>
      <c r="AE24" s="27">
        <f>IF(AQ24="7",BI24,0)</f>
        <v>0</v>
      </c>
      <c r="AF24" s="27">
        <f>IF(AQ24="2",BH24,0)</f>
        <v>0</v>
      </c>
      <c r="AG24" s="27">
        <f>IF(AQ24="2",BI24,0)</f>
        <v>0</v>
      </c>
      <c r="AH24" s="27">
        <f>IF(AQ24="0",BJ24,0)</f>
        <v>0</v>
      </c>
      <c r="AI24" s="13"/>
      <c r="AJ24" s="27">
        <f>IF(AN24=0,L24,0)</f>
        <v>0</v>
      </c>
      <c r="AK24" s="27">
        <f>IF(AN24=12,L24,0)</f>
        <v>0</v>
      </c>
      <c r="AL24" s="27">
        <f>IF(AN24=21,L24,0)</f>
        <v>0</v>
      </c>
      <c r="AN24" s="27">
        <v>21</v>
      </c>
      <c r="AO24" s="27">
        <f>H24*0.180413625</f>
        <v>0</v>
      </c>
      <c r="AP24" s="27">
        <f>H24*(1-0.180413625)</f>
        <v>0</v>
      </c>
      <c r="AQ24" s="28" t="s">
        <v>57</v>
      </c>
      <c r="AV24" s="27">
        <f>AW24+AX24</f>
        <v>0</v>
      </c>
      <c r="AW24" s="27">
        <f>G24*AO24</f>
        <v>0</v>
      </c>
      <c r="AX24" s="27">
        <f>G24*AP24</f>
        <v>0</v>
      </c>
      <c r="AY24" s="28" t="s">
        <v>102</v>
      </c>
      <c r="AZ24" s="28" t="s">
        <v>103</v>
      </c>
      <c r="BA24" s="13" t="s">
        <v>65</v>
      </c>
      <c r="BC24" s="27">
        <f>AW24+AX24</f>
        <v>0</v>
      </c>
      <c r="BD24" s="27">
        <f>H24/(100-BE24)*100</f>
        <v>0</v>
      </c>
      <c r="BE24" s="27">
        <v>0</v>
      </c>
      <c r="BF24" s="27">
        <f>O24</f>
        <v>1.3000000000000001E-2</v>
      </c>
      <c r="BH24" s="27">
        <f>G24*AO24</f>
        <v>0</v>
      </c>
      <c r="BI24" s="27">
        <f>G24*AP24</f>
        <v>0</v>
      </c>
      <c r="BJ24" s="27">
        <f>G24*H24</f>
        <v>0</v>
      </c>
      <c r="BK24" s="27"/>
      <c r="BL24" s="27">
        <v>61</v>
      </c>
      <c r="BW24" s="27" t="str">
        <f>I24</f>
        <v>21</v>
      </c>
      <c r="BX24" s="3" t="s">
        <v>101</v>
      </c>
    </row>
    <row r="25" spans="1:76" ht="15" customHeight="1" x14ac:dyDescent="0.25">
      <c r="A25" s="26" t="s">
        <v>104</v>
      </c>
      <c r="B25" s="4"/>
      <c r="C25" s="4" t="s">
        <v>105</v>
      </c>
      <c r="D25" s="65" t="s">
        <v>106</v>
      </c>
      <c r="E25" s="65"/>
      <c r="F25" s="4" t="s">
        <v>83</v>
      </c>
      <c r="G25" s="27">
        <v>36</v>
      </c>
      <c r="H25" s="27">
        <v>0</v>
      </c>
      <c r="I25" s="28" t="s">
        <v>61</v>
      </c>
      <c r="J25" s="27">
        <f>G25*AO25</f>
        <v>0</v>
      </c>
      <c r="K25" s="27">
        <f>G25*AP25</f>
        <v>0</v>
      </c>
      <c r="L25" s="27">
        <f>G25*H25</f>
        <v>0</v>
      </c>
      <c r="M25" s="27">
        <f>L25*(1+BW25/100)</f>
        <v>0</v>
      </c>
      <c r="N25" s="27">
        <v>8.0300000000000007E-3</v>
      </c>
      <c r="O25" s="27">
        <f>G25*N25</f>
        <v>0.28908</v>
      </c>
      <c r="P25" s="29" t="s">
        <v>62</v>
      </c>
      <c r="Z25" s="27">
        <f>IF(AQ25="5",BJ25,0)</f>
        <v>0</v>
      </c>
      <c r="AB25" s="27">
        <f>IF(AQ25="1",BH25,0)</f>
        <v>0</v>
      </c>
      <c r="AC25" s="27">
        <f>IF(AQ25="1",BI25,0)</f>
        <v>0</v>
      </c>
      <c r="AD25" s="27">
        <f>IF(AQ25="7",BH25,0)</f>
        <v>0</v>
      </c>
      <c r="AE25" s="27">
        <f>IF(AQ25="7",BI25,0)</f>
        <v>0</v>
      </c>
      <c r="AF25" s="27">
        <f>IF(AQ25="2",BH25,0)</f>
        <v>0</v>
      </c>
      <c r="AG25" s="27">
        <f>IF(AQ25="2",BI25,0)</f>
        <v>0</v>
      </c>
      <c r="AH25" s="27">
        <f>IF(AQ25="0",BJ25,0)</f>
        <v>0</v>
      </c>
      <c r="AI25" s="13"/>
      <c r="AJ25" s="27">
        <f>IF(AN25=0,L25,0)</f>
        <v>0</v>
      </c>
      <c r="AK25" s="27">
        <f>IF(AN25=12,L25,0)</f>
        <v>0</v>
      </c>
      <c r="AL25" s="27">
        <f>IF(AN25=21,L25,0)</f>
        <v>0</v>
      </c>
      <c r="AN25" s="27">
        <v>21</v>
      </c>
      <c r="AO25" s="27">
        <f>H25*0.193166287</f>
        <v>0</v>
      </c>
      <c r="AP25" s="27">
        <f>H25*(1-0.193166287)</f>
        <v>0</v>
      </c>
      <c r="AQ25" s="28" t="s">
        <v>57</v>
      </c>
      <c r="AV25" s="27">
        <f>AW25+AX25</f>
        <v>0</v>
      </c>
      <c r="AW25" s="27">
        <f>G25*AO25</f>
        <v>0</v>
      </c>
      <c r="AX25" s="27">
        <f>G25*AP25</f>
        <v>0</v>
      </c>
      <c r="AY25" s="28" t="s">
        <v>102</v>
      </c>
      <c r="AZ25" s="28" t="s">
        <v>103</v>
      </c>
      <c r="BA25" s="13" t="s">
        <v>65</v>
      </c>
      <c r="BC25" s="27">
        <f>AW25+AX25</f>
        <v>0</v>
      </c>
      <c r="BD25" s="27">
        <f>H25/(100-BE25)*100</f>
        <v>0</v>
      </c>
      <c r="BE25" s="27">
        <v>0</v>
      </c>
      <c r="BF25" s="27">
        <f>O25</f>
        <v>0.28908</v>
      </c>
      <c r="BH25" s="27">
        <f>G25*AO25</f>
        <v>0</v>
      </c>
      <c r="BI25" s="27">
        <f>G25*AP25</f>
        <v>0</v>
      </c>
      <c r="BJ25" s="27">
        <f>G25*H25</f>
        <v>0</v>
      </c>
      <c r="BK25" s="27"/>
      <c r="BL25" s="27">
        <v>61</v>
      </c>
      <c r="BW25" s="27" t="str">
        <f>I25</f>
        <v>21</v>
      </c>
      <c r="BX25" s="3" t="s">
        <v>106</v>
      </c>
    </row>
    <row r="26" spans="1:76" ht="15" customHeight="1" x14ac:dyDescent="0.25">
      <c r="A26" s="26" t="s">
        <v>107</v>
      </c>
      <c r="B26" s="4"/>
      <c r="C26" s="4" t="s">
        <v>108</v>
      </c>
      <c r="D26" s="65" t="s">
        <v>109</v>
      </c>
      <c r="E26" s="65"/>
      <c r="F26" s="4" t="s">
        <v>83</v>
      </c>
      <c r="G26" s="27">
        <v>24</v>
      </c>
      <c r="H26" s="27">
        <v>0</v>
      </c>
      <c r="I26" s="28" t="s">
        <v>61</v>
      </c>
      <c r="J26" s="27">
        <f>G26*AO26</f>
        <v>0</v>
      </c>
      <c r="K26" s="27">
        <f>G26*AP26</f>
        <v>0</v>
      </c>
      <c r="L26" s="27">
        <f>G26*H26</f>
        <v>0</v>
      </c>
      <c r="M26" s="27">
        <f>L26*(1+BW26/100)</f>
        <v>0</v>
      </c>
      <c r="N26" s="27">
        <v>4.4140000000000006E-2</v>
      </c>
      <c r="O26" s="27">
        <f>G26*N26</f>
        <v>1.0593600000000001</v>
      </c>
      <c r="P26" s="29" t="s">
        <v>62</v>
      </c>
      <c r="Z26" s="27">
        <f>IF(AQ26="5",BJ26,0)</f>
        <v>0</v>
      </c>
      <c r="AB26" s="27">
        <f>IF(AQ26="1",BH26,0)</f>
        <v>0</v>
      </c>
      <c r="AC26" s="27">
        <f>IF(AQ26="1",BI26,0)</f>
        <v>0</v>
      </c>
      <c r="AD26" s="27">
        <f>IF(AQ26="7",BH26,0)</f>
        <v>0</v>
      </c>
      <c r="AE26" s="27">
        <f>IF(AQ26="7",BI26,0)</f>
        <v>0</v>
      </c>
      <c r="AF26" s="27">
        <f>IF(AQ26="2",BH26,0)</f>
        <v>0</v>
      </c>
      <c r="AG26" s="27">
        <f>IF(AQ26="2",BI26,0)</f>
        <v>0</v>
      </c>
      <c r="AH26" s="27">
        <f>IF(AQ26="0",BJ26,0)</f>
        <v>0</v>
      </c>
      <c r="AI26" s="13"/>
      <c r="AJ26" s="27">
        <f>IF(AN26=0,L26,0)</f>
        <v>0</v>
      </c>
      <c r="AK26" s="27">
        <f>IF(AN26=12,L26,0)</f>
        <v>0</v>
      </c>
      <c r="AL26" s="27">
        <f>IF(AN26=21,L26,0)</f>
        <v>0</v>
      </c>
      <c r="AN26" s="27">
        <v>21</v>
      </c>
      <c r="AO26" s="27">
        <f>H26*0.137273919</f>
        <v>0</v>
      </c>
      <c r="AP26" s="27">
        <f>H26*(1-0.137273919)</f>
        <v>0</v>
      </c>
      <c r="AQ26" s="28" t="s">
        <v>57</v>
      </c>
      <c r="AV26" s="27">
        <f>AW26+AX26</f>
        <v>0</v>
      </c>
      <c r="AW26" s="27">
        <f>G26*AO26</f>
        <v>0</v>
      </c>
      <c r="AX26" s="27">
        <f>G26*AP26</f>
        <v>0</v>
      </c>
      <c r="AY26" s="28" t="s">
        <v>102</v>
      </c>
      <c r="AZ26" s="28" t="s">
        <v>103</v>
      </c>
      <c r="BA26" s="13" t="s">
        <v>65</v>
      </c>
      <c r="BC26" s="27">
        <f>AW26+AX26</f>
        <v>0</v>
      </c>
      <c r="BD26" s="27">
        <f>H26/(100-BE26)*100</f>
        <v>0</v>
      </c>
      <c r="BE26" s="27">
        <v>0</v>
      </c>
      <c r="BF26" s="27">
        <f>O26</f>
        <v>1.0593600000000001</v>
      </c>
      <c r="BH26" s="27">
        <f>G26*AO26</f>
        <v>0</v>
      </c>
      <c r="BI26" s="27">
        <f>G26*AP26</f>
        <v>0</v>
      </c>
      <c r="BJ26" s="27">
        <f>G26*H26</f>
        <v>0</v>
      </c>
      <c r="BK26" s="27"/>
      <c r="BL26" s="27">
        <v>61</v>
      </c>
      <c r="BW26" s="27" t="str">
        <f>I26</f>
        <v>21</v>
      </c>
      <c r="BX26" s="3" t="s">
        <v>109</v>
      </c>
    </row>
    <row r="27" spans="1:76" ht="15" customHeight="1" x14ac:dyDescent="0.25">
      <c r="A27" s="22"/>
      <c r="B27" s="23"/>
      <c r="C27" s="23" t="s">
        <v>110</v>
      </c>
      <c r="D27" s="74" t="s">
        <v>111</v>
      </c>
      <c r="E27" s="74"/>
      <c r="F27" s="24" t="s">
        <v>4</v>
      </c>
      <c r="G27" s="24" t="s">
        <v>4</v>
      </c>
      <c r="H27" s="24" t="s">
        <v>4</v>
      </c>
      <c r="I27" s="24" t="s">
        <v>4</v>
      </c>
      <c r="J27" s="2">
        <f>SUM(J28:J34)</f>
        <v>0</v>
      </c>
      <c r="K27" s="2">
        <f>SUM(K28:K34)</f>
        <v>0</v>
      </c>
      <c r="L27" s="2">
        <f>SUM(L28:L34)</f>
        <v>0</v>
      </c>
      <c r="M27" s="2">
        <f>SUM(M28:M34)</f>
        <v>0</v>
      </c>
      <c r="N27" s="13"/>
      <c r="O27" s="2">
        <f>SUM(O28:O34)</f>
        <v>23.890604000000003</v>
      </c>
      <c r="P27" s="25"/>
      <c r="AI27" s="13"/>
      <c r="AS27" s="2">
        <f>SUM(AJ28:AJ34)</f>
        <v>0</v>
      </c>
      <c r="AT27" s="2">
        <f>SUM(AK28:AK34)</f>
        <v>0</v>
      </c>
      <c r="AU27" s="2">
        <f>SUM(AL28:AL34)</f>
        <v>0</v>
      </c>
    </row>
    <row r="28" spans="1:76" ht="15" customHeight="1" x14ac:dyDescent="0.25">
      <c r="A28" s="26" t="s">
        <v>112</v>
      </c>
      <c r="B28" s="4"/>
      <c r="C28" s="4" t="s">
        <v>113</v>
      </c>
      <c r="D28" s="65" t="s">
        <v>114</v>
      </c>
      <c r="E28" s="65"/>
      <c r="F28" s="4" t="s">
        <v>115</v>
      </c>
      <c r="G28" s="27">
        <v>0.1</v>
      </c>
      <c r="H28" s="27">
        <v>0</v>
      </c>
      <c r="I28" s="28" t="s">
        <v>61</v>
      </c>
      <c r="J28" s="27">
        <f t="shared" ref="J28:J34" si="0">G28*AO28</f>
        <v>0</v>
      </c>
      <c r="K28" s="27">
        <f t="shared" ref="K28:K34" si="1">G28*AP28</f>
        <v>0</v>
      </c>
      <c r="L28" s="27">
        <f t="shared" ref="L28:L34" si="2">G28*H28</f>
        <v>0</v>
      </c>
      <c r="M28" s="27">
        <f t="shared" ref="M28:M34" si="3">L28*(1+BW28/100)</f>
        <v>0</v>
      </c>
      <c r="N28" s="27">
        <v>1.07704</v>
      </c>
      <c r="O28" s="27">
        <f t="shared" ref="O28:O34" si="4">G28*N28</f>
        <v>0.10770400000000001</v>
      </c>
      <c r="P28" s="29" t="s">
        <v>62</v>
      </c>
      <c r="Z28" s="27">
        <f t="shared" ref="Z28:Z34" si="5">IF(AQ28="5",BJ28,0)</f>
        <v>0</v>
      </c>
      <c r="AB28" s="27">
        <f t="shared" ref="AB28:AB34" si="6">IF(AQ28="1",BH28,0)</f>
        <v>0</v>
      </c>
      <c r="AC28" s="27">
        <f t="shared" ref="AC28:AC34" si="7">IF(AQ28="1",BI28,0)</f>
        <v>0</v>
      </c>
      <c r="AD28" s="27">
        <f t="shared" ref="AD28:AD34" si="8">IF(AQ28="7",BH28,0)</f>
        <v>0</v>
      </c>
      <c r="AE28" s="27">
        <f t="shared" ref="AE28:AE34" si="9">IF(AQ28="7",BI28,0)</f>
        <v>0</v>
      </c>
      <c r="AF28" s="27">
        <f t="shared" ref="AF28:AF34" si="10">IF(AQ28="2",BH28,0)</f>
        <v>0</v>
      </c>
      <c r="AG28" s="27">
        <f t="shared" ref="AG28:AG34" si="11">IF(AQ28="2",BI28,0)</f>
        <v>0</v>
      </c>
      <c r="AH28" s="27">
        <f t="shared" ref="AH28:AH34" si="12">IF(AQ28="0",BJ28,0)</f>
        <v>0</v>
      </c>
      <c r="AI28" s="13"/>
      <c r="AJ28" s="27">
        <f t="shared" ref="AJ28:AJ34" si="13">IF(AN28=0,L28,0)</f>
        <v>0</v>
      </c>
      <c r="AK28" s="27">
        <f t="shared" ref="AK28:AK34" si="14">IF(AN28=12,L28,0)</f>
        <v>0</v>
      </c>
      <c r="AL28" s="27">
        <f t="shared" ref="AL28:AL34" si="15">IF(AN28=21,L28,0)</f>
        <v>0</v>
      </c>
      <c r="AN28" s="27">
        <v>21</v>
      </c>
      <c r="AO28" s="27">
        <f>H28*0.79616764</f>
        <v>0</v>
      </c>
      <c r="AP28" s="27">
        <f>H28*(1-0.79616764)</f>
        <v>0</v>
      </c>
      <c r="AQ28" s="28" t="s">
        <v>57</v>
      </c>
      <c r="AV28" s="27">
        <f t="shared" ref="AV28:AV34" si="16">AW28+AX28</f>
        <v>0</v>
      </c>
      <c r="AW28" s="27">
        <f t="shared" ref="AW28:AW34" si="17">G28*AO28</f>
        <v>0</v>
      </c>
      <c r="AX28" s="27">
        <f t="shared" ref="AX28:AX34" si="18">G28*AP28</f>
        <v>0</v>
      </c>
      <c r="AY28" s="28" t="s">
        <v>116</v>
      </c>
      <c r="AZ28" s="28" t="s">
        <v>103</v>
      </c>
      <c r="BA28" s="13" t="s">
        <v>65</v>
      </c>
      <c r="BC28" s="27">
        <f t="shared" ref="BC28:BC34" si="19">AW28+AX28</f>
        <v>0</v>
      </c>
      <c r="BD28" s="27">
        <f t="shared" ref="BD28:BD34" si="20">H28/(100-BE28)*100</f>
        <v>0</v>
      </c>
      <c r="BE28" s="27">
        <v>0</v>
      </c>
      <c r="BF28" s="27">
        <f t="shared" ref="BF28:BF34" si="21">O28</f>
        <v>0.10770400000000001</v>
      </c>
      <c r="BH28" s="27">
        <f t="shared" ref="BH28:BH34" si="22">G28*AO28</f>
        <v>0</v>
      </c>
      <c r="BI28" s="27">
        <f t="shared" ref="BI28:BI34" si="23">G28*AP28</f>
        <v>0</v>
      </c>
      <c r="BJ28" s="27">
        <f t="shared" ref="BJ28:BJ34" si="24">G28*H28</f>
        <v>0</v>
      </c>
      <c r="BK28" s="27"/>
      <c r="BL28" s="27">
        <v>63</v>
      </c>
      <c r="BW28" s="27" t="str">
        <f t="shared" ref="BW28:BW34" si="25">I28</f>
        <v>21</v>
      </c>
      <c r="BX28" s="3" t="s">
        <v>114</v>
      </c>
    </row>
    <row r="29" spans="1:76" ht="15" customHeight="1" x14ac:dyDescent="0.25">
      <c r="A29" s="26" t="s">
        <v>55</v>
      </c>
      <c r="B29" s="4"/>
      <c r="C29" s="4" t="s">
        <v>117</v>
      </c>
      <c r="D29" s="65" t="s">
        <v>118</v>
      </c>
      <c r="E29" s="65"/>
      <c r="F29" s="4" t="s">
        <v>60</v>
      </c>
      <c r="G29" s="27">
        <v>5.9</v>
      </c>
      <c r="H29" s="27">
        <v>0</v>
      </c>
      <c r="I29" s="28" t="s">
        <v>61</v>
      </c>
      <c r="J29" s="27">
        <f t="shared" si="0"/>
        <v>0</v>
      </c>
      <c r="K29" s="27">
        <f t="shared" si="1"/>
        <v>0</v>
      </c>
      <c r="L29" s="27">
        <f t="shared" si="2"/>
        <v>0</v>
      </c>
      <c r="M29" s="27">
        <f t="shared" si="3"/>
        <v>0</v>
      </c>
      <c r="N29" s="27">
        <v>2.323</v>
      </c>
      <c r="O29" s="27">
        <f t="shared" si="4"/>
        <v>13.7057</v>
      </c>
      <c r="P29" s="29" t="s">
        <v>62</v>
      </c>
      <c r="Z29" s="27">
        <f t="shared" si="5"/>
        <v>0</v>
      </c>
      <c r="AB29" s="27">
        <f t="shared" si="6"/>
        <v>0</v>
      </c>
      <c r="AC29" s="27">
        <f t="shared" si="7"/>
        <v>0</v>
      </c>
      <c r="AD29" s="27">
        <f t="shared" si="8"/>
        <v>0</v>
      </c>
      <c r="AE29" s="27">
        <f t="shared" si="9"/>
        <v>0</v>
      </c>
      <c r="AF29" s="27">
        <f t="shared" si="10"/>
        <v>0</v>
      </c>
      <c r="AG29" s="27">
        <f t="shared" si="11"/>
        <v>0</v>
      </c>
      <c r="AH29" s="27">
        <f t="shared" si="12"/>
        <v>0</v>
      </c>
      <c r="AI29" s="13"/>
      <c r="AJ29" s="27">
        <f t="shared" si="13"/>
        <v>0</v>
      </c>
      <c r="AK29" s="27">
        <f t="shared" si="14"/>
        <v>0</v>
      </c>
      <c r="AL29" s="27">
        <f t="shared" si="15"/>
        <v>0</v>
      </c>
      <c r="AN29" s="27">
        <v>21</v>
      </c>
      <c r="AO29" s="27">
        <f>H29*0.757280476</f>
        <v>0</v>
      </c>
      <c r="AP29" s="27">
        <f>H29*(1-0.757280476)</f>
        <v>0</v>
      </c>
      <c r="AQ29" s="28" t="s">
        <v>57</v>
      </c>
      <c r="AV29" s="27">
        <f t="shared" si="16"/>
        <v>0</v>
      </c>
      <c r="AW29" s="27">
        <f t="shared" si="17"/>
        <v>0</v>
      </c>
      <c r="AX29" s="27">
        <f t="shared" si="18"/>
        <v>0</v>
      </c>
      <c r="AY29" s="28" t="s">
        <v>116</v>
      </c>
      <c r="AZ29" s="28" t="s">
        <v>103</v>
      </c>
      <c r="BA29" s="13" t="s">
        <v>65</v>
      </c>
      <c r="BC29" s="27">
        <f t="shared" si="19"/>
        <v>0</v>
      </c>
      <c r="BD29" s="27">
        <f t="shared" si="20"/>
        <v>0</v>
      </c>
      <c r="BE29" s="27">
        <v>0</v>
      </c>
      <c r="BF29" s="27">
        <f t="shared" si="21"/>
        <v>13.7057</v>
      </c>
      <c r="BH29" s="27">
        <f t="shared" si="22"/>
        <v>0</v>
      </c>
      <c r="BI29" s="27">
        <f t="shared" si="23"/>
        <v>0</v>
      </c>
      <c r="BJ29" s="27">
        <f t="shared" si="24"/>
        <v>0</v>
      </c>
      <c r="BK29" s="27"/>
      <c r="BL29" s="27">
        <v>63</v>
      </c>
      <c r="BW29" s="27" t="str">
        <f t="shared" si="25"/>
        <v>21</v>
      </c>
      <c r="BX29" s="3" t="s">
        <v>118</v>
      </c>
    </row>
    <row r="30" spans="1:76" ht="15" customHeight="1" x14ac:dyDescent="0.25">
      <c r="A30" s="26" t="s">
        <v>119</v>
      </c>
      <c r="B30" s="4"/>
      <c r="C30" s="4" t="s">
        <v>120</v>
      </c>
      <c r="D30" s="65" t="s">
        <v>121</v>
      </c>
      <c r="E30" s="65"/>
      <c r="F30" s="4" t="s">
        <v>60</v>
      </c>
      <c r="G30" s="27">
        <v>5.9</v>
      </c>
      <c r="H30" s="27">
        <v>0</v>
      </c>
      <c r="I30" s="28" t="s">
        <v>61</v>
      </c>
      <c r="J30" s="27">
        <f t="shared" si="0"/>
        <v>0</v>
      </c>
      <c r="K30" s="27">
        <f t="shared" si="1"/>
        <v>0</v>
      </c>
      <c r="L30" s="27">
        <f t="shared" si="2"/>
        <v>0</v>
      </c>
      <c r="M30" s="27">
        <f t="shared" si="3"/>
        <v>0</v>
      </c>
      <c r="N30" s="27">
        <v>0</v>
      </c>
      <c r="O30" s="27">
        <f t="shared" si="4"/>
        <v>0</v>
      </c>
      <c r="P30" s="29" t="s">
        <v>62</v>
      </c>
      <c r="Z30" s="27">
        <f t="shared" si="5"/>
        <v>0</v>
      </c>
      <c r="AB30" s="27">
        <f t="shared" si="6"/>
        <v>0</v>
      </c>
      <c r="AC30" s="27">
        <f t="shared" si="7"/>
        <v>0</v>
      </c>
      <c r="AD30" s="27">
        <f t="shared" si="8"/>
        <v>0</v>
      </c>
      <c r="AE30" s="27">
        <f t="shared" si="9"/>
        <v>0</v>
      </c>
      <c r="AF30" s="27">
        <f t="shared" si="10"/>
        <v>0</v>
      </c>
      <c r="AG30" s="27">
        <f t="shared" si="11"/>
        <v>0</v>
      </c>
      <c r="AH30" s="27">
        <f t="shared" si="12"/>
        <v>0</v>
      </c>
      <c r="AI30" s="13"/>
      <c r="AJ30" s="27">
        <f t="shared" si="13"/>
        <v>0</v>
      </c>
      <c r="AK30" s="27">
        <f t="shared" si="14"/>
        <v>0</v>
      </c>
      <c r="AL30" s="27">
        <f t="shared" si="15"/>
        <v>0</v>
      </c>
      <c r="AN30" s="27">
        <v>21</v>
      </c>
      <c r="AO30" s="27">
        <f>H30*0</f>
        <v>0</v>
      </c>
      <c r="AP30" s="27">
        <f>H30*(1-0)</f>
        <v>0</v>
      </c>
      <c r="AQ30" s="28" t="s">
        <v>57</v>
      </c>
      <c r="AV30" s="27">
        <f t="shared" si="16"/>
        <v>0</v>
      </c>
      <c r="AW30" s="27">
        <f t="shared" si="17"/>
        <v>0</v>
      </c>
      <c r="AX30" s="27">
        <f t="shared" si="18"/>
        <v>0</v>
      </c>
      <c r="AY30" s="28" t="s">
        <v>116</v>
      </c>
      <c r="AZ30" s="28" t="s">
        <v>103</v>
      </c>
      <c r="BA30" s="13" t="s">
        <v>65</v>
      </c>
      <c r="BC30" s="27">
        <f t="shared" si="19"/>
        <v>0</v>
      </c>
      <c r="BD30" s="27">
        <f t="shared" si="20"/>
        <v>0</v>
      </c>
      <c r="BE30" s="27">
        <v>0</v>
      </c>
      <c r="BF30" s="27">
        <f t="shared" si="21"/>
        <v>0</v>
      </c>
      <c r="BH30" s="27">
        <f t="shared" si="22"/>
        <v>0</v>
      </c>
      <c r="BI30" s="27">
        <f t="shared" si="23"/>
        <v>0</v>
      </c>
      <c r="BJ30" s="27">
        <f t="shared" si="24"/>
        <v>0</v>
      </c>
      <c r="BK30" s="27"/>
      <c r="BL30" s="27">
        <v>63</v>
      </c>
      <c r="BW30" s="27" t="str">
        <f t="shared" si="25"/>
        <v>21</v>
      </c>
      <c r="BX30" s="3" t="s">
        <v>121</v>
      </c>
    </row>
    <row r="31" spans="1:76" ht="15" customHeight="1" x14ac:dyDescent="0.25">
      <c r="A31" s="26" t="s">
        <v>122</v>
      </c>
      <c r="B31" s="4"/>
      <c r="C31" s="4" t="s">
        <v>123</v>
      </c>
      <c r="D31" s="65" t="s">
        <v>124</v>
      </c>
      <c r="E31" s="65"/>
      <c r="F31" s="4" t="s">
        <v>83</v>
      </c>
      <c r="G31" s="27">
        <v>59</v>
      </c>
      <c r="H31" s="27">
        <v>0</v>
      </c>
      <c r="I31" s="28" t="s">
        <v>61</v>
      </c>
      <c r="J31" s="27">
        <f t="shared" si="0"/>
        <v>0</v>
      </c>
      <c r="K31" s="27">
        <f t="shared" si="1"/>
        <v>0</v>
      </c>
      <c r="L31" s="27">
        <f t="shared" si="2"/>
        <v>0</v>
      </c>
      <c r="M31" s="27">
        <f t="shared" si="3"/>
        <v>0</v>
      </c>
      <c r="N31" s="27">
        <v>1.0710000000000001E-2</v>
      </c>
      <c r="O31" s="27">
        <f t="shared" si="4"/>
        <v>0.63189000000000006</v>
      </c>
      <c r="P31" s="29" t="s">
        <v>62</v>
      </c>
      <c r="Z31" s="27">
        <f t="shared" si="5"/>
        <v>0</v>
      </c>
      <c r="AB31" s="27">
        <f t="shared" si="6"/>
        <v>0</v>
      </c>
      <c r="AC31" s="27">
        <f t="shared" si="7"/>
        <v>0</v>
      </c>
      <c r="AD31" s="27">
        <f t="shared" si="8"/>
        <v>0</v>
      </c>
      <c r="AE31" s="27">
        <f t="shared" si="9"/>
        <v>0</v>
      </c>
      <c r="AF31" s="27">
        <f t="shared" si="10"/>
        <v>0</v>
      </c>
      <c r="AG31" s="27">
        <f t="shared" si="11"/>
        <v>0</v>
      </c>
      <c r="AH31" s="27">
        <f t="shared" si="12"/>
        <v>0</v>
      </c>
      <c r="AI31" s="13"/>
      <c r="AJ31" s="27">
        <f t="shared" si="13"/>
        <v>0</v>
      </c>
      <c r="AK31" s="27">
        <f t="shared" si="14"/>
        <v>0</v>
      </c>
      <c r="AL31" s="27">
        <f t="shared" si="15"/>
        <v>0</v>
      </c>
      <c r="AN31" s="27">
        <v>21</v>
      </c>
      <c r="AO31" s="27">
        <f>H31*0.726009063</f>
        <v>0</v>
      </c>
      <c r="AP31" s="27">
        <f>H31*(1-0.726009063)</f>
        <v>0</v>
      </c>
      <c r="AQ31" s="28" t="s">
        <v>57</v>
      </c>
      <c r="AV31" s="27">
        <f t="shared" si="16"/>
        <v>0</v>
      </c>
      <c r="AW31" s="27">
        <f t="shared" si="17"/>
        <v>0</v>
      </c>
      <c r="AX31" s="27">
        <f t="shared" si="18"/>
        <v>0</v>
      </c>
      <c r="AY31" s="28" t="s">
        <v>116</v>
      </c>
      <c r="AZ31" s="28" t="s">
        <v>103</v>
      </c>
      <c r="BA31" s="13" t="s">
        <v>65</v>
      </c>
      <c r="BC31" s="27">
        <f t="shared" si="19"/>
        <v>0</v>
      </c>
      <c r="BD31" s="27">
        <f t="shared" si="20"/>
        <v>0</v>
      </c>
      <c r="BE31" s="27">
        <v>0</v>
      </c>
      <c r="BF31" s="27">
        <f t="shared" si="21"/>
        <v>0.63189000000000006</v>
      </c>
      <c r="BH31" s="27">
        <f t="shared" si="22"/>
        <v>0</v>
      </c>
      <c r="BI31" s="27">
        <f t="shared" si="23"/>
        <v>0</v>
      </c>
      <c r="BJ31" s="27">
        <f t="shared" si="24"/>
        <v>0</v>
      </c>
      <c r="BK31" s="27"/>
      <c r="BL31" s="27">
        <v>63</v>
      </c>
      <c r="BW31" s="27" t="str">
        <f t="shared" si="25"/>
        <v>21</v>
      </c>
      <c r="BX31" s="3" t="s">
        <v>124</v>
      </c>
    </row>
    <row r="32" spans="1:76" ht="15" customHeight="1" x14ac:dyDescent="0.25">
      <c r="A32" s="26" t="s">
        <v>125</v>
      </c>
      <c r="B32" s="4"/>
      <c r="C32" s="4" t="s">
        <v>126</v>
      </c>
      <c r="D32" s="65" t="s">
        <v>127</v>
      </c>
      <c r="E32" s="65"/>
      <c r="F32" s="4" t="s">
        <v>83</v>
      </c>
      <c r="G32" s="27">
        <v>59</v>
      </c>
      <c r="H32" s="27">
        <v>0</v>
      </c>
      <c r="I32" s="28" t="s">
        <v>61</v>
      </c>
      <c r="J32" s="27">
        <f t="shared" si="0"/>
        <v>0</v>
      </c>
      <c r="K32" s="27">
        <f t="shared" si="1"/>
        <v>0</v>
      </c>
      <c r="L32" s="27">
        <f t="shared" si="2"/>
        <v>0</v>
      </c>
      <c r="M32" s="27">
        <f t="shared" si="3"/>
        <v>0</v>
      </c>
      <c r="N32" s="27">
        <v>0</v>
      </c>
      <c r="O32" s="27">
        <f t="shared" si="4"/>
        <v>0</v>
      </c>
      <c r="P32" s="29" t="s">
        <v>62</v>
      </c>
      <c r="Z32" s="27">
        <f t="shared" si="5"/>
        <v>0</v>
      </c>
      <c r="AB32" s="27">
        <f t="shared" si="6"/>
        <v>0</v>
      </c>
      <c r="AC32" s="27">
        <f t="shared" si="7"/>
        <v>0</v>
      </c>
      <c r="AD32" s="27">
        <f t="shared" si="8"/>
        <v>0</v>
      </c>
      <c r="AE32" s="27">
        <f t="shared" si="9"/>
        <v>0</v>
      </c>
      <c r="AF32" s="27">
        <f t="shared" si="10"/>
        <v>0</v>
      </c>
      <c r="AG32" s="27">
        <f t="shared" si="11"/>
        <v>0</v>
      </c>
      <c r="AH32" s="27">
        <f t="shared" si="12"/>
        <v>0</v>
      </c>
      <c r="AI32" s="13"/>
      <c r="AJ32" s="27">
        <f t="shared" si="13"/>
        <v>0</v>
      </c>
      <c r="AK32" s="27">
        <f t="shared" si="14"/>
        <v>0</v>
      </c>
      <c r="AL32" s="27">
        <f t="shared" si="15"/>
        <v>0</v>
      </c>
      <c r="AN32" s="27">
        <v>21</v>
      </c>
      <c r="AO32" s="27">
        <f>H32*0</f>
        <v>0</v>
      </c>
      <c r="AP32" s="27">
        <f>H32*(1-0)</f>
        <v>0</v>
      </c>
      <c r="AQ32" s="28" t="s">
        <v>57</v>
      </c>
      <c r="AV32" s="27">
        <f t="shared" si="16"/>
        <v>0</v>
      </c>
      <c r="AW32" s="27">
        <f t="shared" si="17"/>
        <v>0</v>
      </c>
      <c r="AX32" s="27">
        <f t="shared" si="18"/>
        <v>0</v>
      </c>
      <c r="AY32" s="28" t="s">
        <v>116</v>
      </c>
      <c r="AZ32" s="28" t="s">
        <v>103</v>
      </c>
      <c r="BA32" s="13" t="s">
        <v>65</v>
      </c>
      <c r="BC32" s="27">
        <f t="shared" si="19"/>
        <v>0</v>
      </c>
      <c r="BD32" s="27">
        <f t="shared" si="20"/>
        <v>0</v>
      </c>
      <c r="BE32" s="27">
        <v>0</v>
      </c>
      <c r="BF32" s="27">
        <f t="shared" si="21"/>
        <v>0</v>
      </c>
      <c r="BH32" s="27">
        <f t="shared" si="22"/>
        <v>0</v>
      </c>
      <c r="BI32" s="27">
        <f t="shared" si="23"/>
        <v>0</v>
      </c>
      <c r="BJ32" s="27">
        <f t="shared" si="24"/>
        <v>0</v>
      </c>
      <c r="BK32" s="27"/>
      <c r="BL32" s="27">
        <v>63</v>
      </c>
      <c r="BW32" s="27" t="str">
        <f t="shared" si="25"/>
        <v>21</v>
      </c>
      <c r="BX32" s="3" t="s">
        <v>127</v>
      </c>
    </row>
    <row r="33" spans="1:76" ht="15" customHeight="1" x14ac:dyDescent="0.25">
      <c r="A33" s="26" t="s">
        <v>128</v>
      </c>
      <c r="B33" s="4"/>
      <c r="C33" s="4" t="s">
        <v>129</v>
      </c>
      <c r="D33" s="65" t="s">
        <v>130</v>
      </c>
      <c r="E33" s="65"/>
      <c r="F33" s="4" t="s">
        <v>83</v>
      </c>
      <c r="G33" s="27">
        <v>59</v>
      </c>
      <c r="H33" s="27">
        <v>0</v>
      </c>
      <c r="I33" s="28" t="s">
        <v>61</v>
      </c>
      <c r="J33" s="27">
        <f t="shared" si="0"/>
        <v>0</v>
      </c>
      <c r="K33" s="27">
        <f t="shared" si="1"/>
        <v>0</v>
      </c>
      <c r="L33" s="27">
        <f t="shared" si="2"/>
        <v>0</v>
      </c>
      <c r="M33" s="27">
        <f t="shared" si="3"/>
        <v>0</v>
      </c>
      <c r="N33" s="27">
        <v>4.9840000000000002E-2</v>
      </c>
      <c r="O33" s="27">
        <f t="shared" si="4"/>
        <v>2.9405600000000001</v>
      </c>
      <c r="P33" s="29" t="s">
        <v>62</v>
      </c>
      <c r="Z33" s="27">
        <f t="shared" si="5"/>
        <v>0</v>
      </c>
      <c r="AB33" s="27">
        <f t="shared" si="6"/>
        <v>0</v>
      </c>
      <c r="AC33" s="27">
        <f t="shared" si="7"/>
        <v>0</v>
      </c>
      <c r="AD33" s="27">
        <f t="shared" si="8"/>
        <v>0</v>
      </c>
      <c r="AE33" s="27">
        <f t="shared" si="9"/>
        <v>0</v>
      </c>
      <c r="AF33" s="27">
        <f t="shared" si="10"/>
        <v>0</v>
      </c>
      <c r="AG33" s="27">
        <f t="shared" si="11"/>
        <v>0</v>
      </c>
      <c r="AH33" s="27">
        <f t="shared" si="12"/>
        <v>0</v>
      </c>
      <c r="AI33" s="13"/>
      <c r="AJ33" s="27">
        <f t="shared" si="13"/>
        <v>0</v>
      </c>
      <c r="AK33" s="27">
        <f t="shared" si="14"/>
        <v>0</v>
      </c>
      <c r="AL33" s="27">
        <f t="shared" si="15"/>
        <v>0</v>
      </c>
      <c r="AN33" s="27">
        <v>21</v>
      </c>
      <c r="AO33" s="27">
        <f>H33*0.25454191</f>
        <v>0</v>
      </c>
      <c r="AP33" s="27">
        <f>H33*(1-0.25454191)</f>
        <v>0</v>
      </c>
      <c r="AQ33" s="28" t="s">
        <v>57</v>
      </c>
      <c r="AV33" s="27">
        <f t="shared" si="16"/>
        <v>0</v>
      </c>
      <c r="AW33" s="27">
        <f t="shared" si="17"/>
        <v>0</v>
      </c>
      <c r="AX33" s="27">
        <f t="shared" si="18"/>
        <v>0</v>
      </c>
      <c r="AY33" s="28" t="s">
        <v>116</v>
      </c>
      <c r="AZ33" s="28" t="s">
        <v>103</v>
      </c>
      <c r="BA33" s="13" t="s">
        <v>65</v>
      </c>
      <c r="BC33" s="27">
        <f t="shared" si="19"/>
        <v>0</v>
      </c>
      <c r="BD33" s="27">
        <f t="shared" si="20"/>
        <v>0</v>
      </c>
      <c r="BE33" s="27">
        <v>0</v>
      </c>
      <c r="BF33" s="27">
        <f t="shared" si="21"/>
        <v>2.9405600000000001</v>
      </c>
      <c r="BH33" s="27">
        <f t="shared" si="22"/>
        <v>0</v>
      </c>
      <c r="BI33" s="27">
        <f t="shared" si="23"/>
        <v>0</v>
      </c>
      <c r="BJ33" s="27">
        <f t="shared" si="24"/>
        <v>0</v>
      </c>
      <c r="BK33" s="27"/>
      <c r="BL33" s="27">
        <v>63</v>
      </c>
      <c r="BW33" s="27" t="str">
        <f t="shared" si="25"/>
        <v>21</v>
      </c>
      <c r="BX33" s="3" t="s">
        <v>130</v>
      </c>
    </row>
    <row r="34" spans="1:76" ht="15" customHeight="1" x14ac:dyDescent="0.25">
      <c r="A34" s="26" t="s">
        <v>131</v>
      </c>
      <c r="B34" s="4"/>
      <c r="C34" s="4" t="s">
        <v>132</v>
      </c>
      <c r="D34" s="65" t="s">
        <v>133</v>
      </c>
      <c r="E34" s="65"/>
      <c r="F34" s="4" t="s">
        <v>83</v>
      </c>
      <c r="G34" s="27">
        <v>59</v>
      </c>
      <c r="H34" s="27">
        <v>0</v>
      </c>
      <c r="I34" s="28" t="s">
        <v>61</v>
      </c>
      <c r="J34" s="27">
        <f t="shared" si="0"/>
        <v>0</v>
      </c>
      <c r="K34" s="27">
        <f t="shared" si="1"/>
        <v>0</v>
      </c>
      <c r="L34" s="27">
        <f t="shared" si="2"/>
        <v>0</v>
      </c>
      <c r="M34" s="27">
        <f t="shared" si="3"/>
        <v>0</v>
      </c>
      <c r="N34" s="27">
        <v>0.11025000000000001</v>
      </c>
      <c r="O34" s="27">
        <f t="shared" si="4"/>
        <v>6.5047500000000005</v>
      </c>
      <c r="P34" s="29" t="s">
        <v>62</v>
      </c>
      <c r="Z34" s="27">
        <f t="shared" si="5"/>
        <v>0</v>
      </c>
      <c r="AB34" s="27">
        <f t="shared" si="6"/>
        <v>0</v>
      </c>
      <c r="AC34" s="27">
        <f t="shared" si="7"/>
        <v>0</v>
      </c>
      <c r="AD34" s="27">
        <f t="shared" si="8"/>
        <v>0</v>
      </c>
      <c r="AE34" s="27">
        <f t="shared" si="9"/>
        <v>0</v>
      </c>
      <c r="AF34" s="27">
        <f t="shared" si="10"/>
        <v>0</v>
      </c>
      <c r="AG34" s="27">
        <f t="shared" si="11"/>
        <v>0</v>
      </c>
      <c r="AH34" s="27">
        <f t="shared" si="12"/>
        <v>0</v>
      </c>
      <c r="AI34" s="13"/>
      <c r="AJ34" s="27">
        <f t="shared" si="13"/>
        <v>0</v>
      </c>
      <c r="AK34" s="27">
        <f t="shared" si="14"/>
        <v>0</v>
      </c>
      <c r="AL34" s="27">
        <f t="shared" si="15"/>
        <v>0</v>
      </c>
      <c r="AN34" s="27">
        <v>21</v>
      </c>
      <c r="AO34" s="27">
        <f>H34*0.764020101</f>
        <v>0</v>
      </c>
      <c r="AP34" s="27">
        <f>H34*(1-0.764020101)</f>
        <v>0</v>
      </c>
      <c r="AQ34" s="28" t="s">
        <v>57</v>
      </c>
      <c r="AV34" s="27">
        <f t="shared" si="16"/>
        <v>0</v>
      </c>
      <c r="AW34" s="27">
        <f t="shared" si="17"/>
        <v>0</v>
      </c>
      <c r="AX34" s="27">
        <f t="shared" si="18"/>
        <v>0</v>
      </c>
      <c r="AY34" s="28" t="s">
        <v>116</v>
      </c>
      <c r="AZ34" s="28" t="s">
        <v>103</v>
      </c>
      <c r="BA34" s="13" t="s">
        <v>65</v>
      </c>
      <c r="BC34" s="27">
        <f t="shared" si="19"/>
        <v>0</v>
      </c>
      <c r="BD34" s="27">
        <f t="shared" si="20"/>
        <v>0</v>
      </c>
      <c r="BE34" s="27">
        <v>0</v>
      </c>
      <c r="BF34" s="27">
        <f t="shared" si="21"/>
        <v>6.5047500000000005</v>
      </c>
      <c r="BH34" s="27">
        <f t="shared" si="22"/>
        <v>0</v>
      </c>
      <c r="BI34" s="27">
        <f t="shared" si="23"/>
        <v>0</v>
      </c>
      <c r="BJ34" s="27">
        <f t="shared" si="24"/>
        <v>0</v>
      </c>
      <c r="BK34" s="27"/>
      <c r="BL34" s="27">
        <v>63</v>
      </c>
      <c r="BW34" s="27" t="str">
        <f t="shared" si="25"/>
        <v>21</v>
      </c>
      <c r="BX34" s="3" t="s">
        <v>133</v>
      </c>
    </row>
    <row r="35" spans="1:76" ht="15" customHeight="1" x14ac:dyDescent="0.25">
      <c r="A35" s="22"/>
      <c r="B35" s="23"/>
      <c r="C35" s="23" t="s">
        <v>134</v>
      </c>
      <c r="D35" s="74" t="s">
        <v>135</v>
      </c>
      <c r="E35" s="74"/>
      <c r="F35" s="24" t="s">
        <v>4</v>
      </c>
      <c r="G35" s="24" t="s">
        <v>4</v>
      </c>
      <c r="H35" s="24" t="s">
        <v>4</v>
      </c>
      <c r="I35" s="24" t="s">
        <v>4</v>
      </c>
      <c r="J35" s="2">
        <f>SUM(J36:J40)</f>
        <v>0</v>
      </c>
      <c r="K35" s="2">
        <f>SUM(K36:K40)</f>
        <v>0</v>
      </c>
      <c r="L35" s="2">
        <f>SUM(L36:L40)</f>
        <v>0</v>
      </c>
      <c r="M35" s="2">
        <f>SUM(M36:M40)</f>
        <v>0</v>
      </c>
      <c r="N35" s="13"/>
      <c r="O35" s="2">
        <f>SUM(O36:O40)</f>
        <v>0.30099000000000004</v>
      </c>
      <c r="P35" s="25"/>
      <c r="AI35" s="13"/>
      <c r="AS35" s="2">
        <f>SUM(AJ36:AJ40)</f>
        <v>0</v>
      </c>
      <c r="AT35" s="2">
        <f>SUM(AK36:AK40)</f>
        <v>0</v>
      </c>
      <c r="AU35" s="2">
        <f>SUM(AL36:AL40)</f>
        <v>0</v>
      </c>
    </row>
    <row r="36" spans="1:76" ht="24.75" customHeight="1" x14ac:dyDescent="0.25">
      <c r="A36" s="26" t="s">
        <v>136</v>
      </c>
      <c r="B36" s="4"/>
      <c r="C36" s="4" t="s">
        <v>137</v>
      </c>
      <c r="D36" s="65" t="s">
        <v>138</v>
      </c>
      <c r="E36" s="65"/>
      <c r="F36" s="4" t="s">
        <v>83</v>
      </c>
      <c r="G36" s="27">
        <v>59</v>
      </c>
      <c r="H36" s="27">
        <v>0</v>
      </c>
      <c r="I36" s="28" t="s">
        <v>61</v>
      </c>
      <c r="J36" s="27">
        <f>G36*AO36</f>
        <v>0</v>
      </c>
      <c r="K36" s="27">
        <f>G36*AP36</f>
        <v>0</v>
      </c>
      <c r="L36" s="27">
        <f>G36*H36</f>
        <v>0</v>
      </c>
      <c r="M36" s="27">
        <f>L36*(1+BW36/100)</f>
        <v>0</v>
      </c>
      <c r="N36" s="27">
        <v>2.3E-3</v>
      </c>
      <c r="O36" s="27">
        <f>G36*N36</f>
        <v>0.13569999999999999</v>
      </c>
      <c r="P36" s="29" t="s">
        <v>62</v>
      </c>
      <c r="Z36" s="27">
        <f>IF(AQ36="5",BJ36,0)</f>
        <v>0</v>
      </c>
      <c r="AB36" s="27">
        <f>IF(AQ36="1",BH36,0)</f>
        <v>0</v>
      </c>
      <c r="AC36" s="27">
        <f>IF(AQ36="1",BI36,0)</f>
        <v>0</v>
      </c>
      <c r="AD36" s="27">
        <f>IF(AQ36="7",BH36,0)</f>
        <v>0</v>
      </c>
      <c r="AE36" s="27">
        <f>IF(AQ36="7",BI36,0)</f>
        <v>0</v>
      </c>
      <c r="AF36" s="27">
        <f>IF(AQ36="2",BH36,0)</f>
        <v>0</v>
      </c>
      <c r="AG36" s="27">
        <f>IF(AQ36="2",BI36,0)</f>
        <v>0</v>
      </c>
      <c r="AH36" s="27">
        <f>IF(AQ36="0",BJ36,0)</f>
        <v>0</v>
      </c>
      <c r="AI36" s="13"/>
      <c r="AJ36" s="27">
        <f>IF(AN36=0,L36,0)</f>
        <v>0</v>
      </c>
      <c r="AK36" s="27">
        <f>IF(AN36=12,L36,0)</f>
        <v>0</v>
      </c>
      <c r="AL36" s="27">
        <f>IF(AN36=21,L36,0)</f>
        <v>0</v>
      </c>
      <c r="AN36" s="27">
        <v>21</v>
      </c>
      <c r="AO36" s="27">
        <f>H36*0</f>
        <v>0</v>
      </c>
      <c r="AP36" s="27">
        <f>H36*(1-0)</f>
        <v>0</v>
      </c>
      <c r="AQ36" s="28" t="s">
        <v>94</v>
      </c>
      <c r="AV36" s="27">
        <f>AW36+AX36</f>
        <v>0</v>
      </c>
      <c r="AW36" s="27">
        <f>G36*AO36</f>
        <v>0</v>
      </c>
      <c r="AX36" s="27">
        <f>G36*AP36</f>
        <v>0</v>
      </c>
      <c r="AY36" s="28" t="s">
        <v>139</v>
      </c>
      <c r="AZ36" s="28" t="s">
        <v>140</v>
      </c>
      <c r="BA36" s="13" t="s">
        <v>65</v>
      </c>
      <c r="BC36" s="27">
        <f>AW36+AX36</f>
        <v>0</v>
      </c>
      <c r="BD36" s="27">
        <f>H36/(100-BE36)*100</f>
        <v>0</v>
      </c>
      <c r="BE36" s="27">
        <v>0</v>
      </c>
      <c r="BF36" s="27">
        <f>O36</f>
        <v>0.13569999999999999</v>
      </c>
      <c r="BH36" s="27">
        <f>G36*AO36</f>
        <v>0</v>
      </c>
      <c r="BI36" s="27">
        <f>G36*AP36</f>
        <v>0</v>
      </c>
      <c r="BJ36" s="27">
        <f>G36*H36</f>
        <v>0</v>
      </c>
      <c r="BK36" s="27"/>
      <c r="BL36" s="27">
        <v>711</v>
      </c>
      <c r="BW36" s="27" t="str">
        <f>I36</f>
        <v>21</v>
      </c>
      <c r="BX36" s="3" t="s">
        <v>138</v>
      </c>
    </row>
    <row r="37" spans="1:76" ht="24.75" customHeight="1" x14ac:dyDescent="0.25">
      <c r="A37" s="26" t="s">
        <v>141</v>
      </c>
      <c r="B37" s="4"/>
      <c r="C37" s="4" t="s">
        <v>142</v>
      </c>
      <c r="D37" s="65" t="s">
        <v>143</v>
      </c>
      <c r="E37" s="65"/>
      <c r="F37" s="4" t="s">
        <v>83</v>
      </c>
      <c r="G37" s="27">
        <v>59</v>
      </c>
      <c r="H37" s="27">
        <v>0</v>
      </c>
      <c r="I37" s="28" t="s">
        <v>61</v>
      </c>
      <c r="J37" s="27">
        <f>G37*AO37</f>
        <v>0</v>
      </c>
      <c r="K37" s="27">
        <f>G37*AP37</f>
        <v>0</v>
      </c>
      <c r="L37" s="27">
        <f>G37*H37</f>
        <v>0</v>
      </c>
      <c r="M37" s="27">
        <f>L37*(1+BW37/100)</f>
        <v>0</v>
      </c>
      <c r="N37" s="27">
        <v>2.2700000000000003E-3</v>
      </c>
      <c r="O37" s="27">
        <f>G37*N37</f>
        <v>0.13393000000000002</v>
      </c>
      <c r="P37" s="29" t="s">
        <v>62</v>
      </c>
      <c r="Z37" s="27">
        <f>IF(AQ37="5",BJ37,0)</f>
        <v>0</v>
      </c>
      <c r="AB37" s="27">
        <f>IF(AQ37="1",BH37,0)</f>
        <v>0</v>
      </c>
      <c r="AC37" s="27">
        <f>IF(AQ37="1",BI37,0)</f>
        <v>0</v>
      </c>
      <c r="AD37" s="27">
        <f>IF(AQ37="7",BH37,0)</f>
        <v>0</v>
      </c>
      <c r="AE37" s="27">
        <f>IF(AQ37="7",BI37,0)</f>
        <v>0</v>
      </c>
      <c r="AF37" s="27">
        <f>IF(AQ37="2",BH37,0)</f>
        <v>0</v>
      </c>
      <c r="AG37" s="27">
        <f>IF(AQ37="2",BI37,0)</f>
        <v>0</v>
      </c>
      <c r="AH37" s="27">
        <f>IF(AQ37="0",BJ37,0)</f>
        <v>0</v>
      </c>
      <c r="AI37" s="13"/>
      <c r="AJ37" s="27">
        <f>IF(AN37=0,L37,0)</f>
        <v>0</v>
      </c>
      <c r="AK37" s="27">
        <f>IF(AN37=12,L37,0)</f>
        <v>0</v>
      </c>
      <c r="AL37" s="27">
        <f>IF(AN37=21,L37,0)</f>
        <v>0</v>
      </c>
      <c r="AN37" s="27">
        <v>21</v>
      </c>
      <c r="AO37" s="27">
        <f>H37*0.606209862</f>
        <v>0</v>
      </c>
      <c r="AP37" s="27">
        <f>H37*(1-0.606209862)</f>
        <v>0</v>
      </c>
      <c r="AQ37" s="28" t="s">
        <v>94</v>
      </c>
      <c r="AV37" s="27">
        <f>AW37+AX37</f>
        <v>0</v>
      </c>
      <c r="AW37" s="27">
        <f>G37*AO37</f>
        <v>0</v>
      </c>
      <c r="AX37" s="27">
        <f>G37*AP37</f>
        <v>0</v>
      </c>
      <c r="AY37" s="28" t="s">
        <v>139</v>
      </c>
      <c r="AZ37" s="28" t="s">
        <v>140</v>
      </c>
      <c r="BA37" s="13" t="s">
        <v>65</v>
      </c>
      <c r="BC37" s="27">
        <f>AW37+AX37</f>
        <v>0</v>
      </c>
      <c r="BD37" s="27">
        <f>H37/(100-BE37)*100</f>
        <v>0</v>
      </c>
      <c r="BE37" s="27">
        <v>0</v>
      </c>
      <c r="BF37" s="27">
        <f>O37</f>
        <v>0.13393000000000002</v>
      </c>
      <c r="BH37" s="27">
        <f>G37*AO37</f>
        <v>0</v>
      </c>
      <c r="BI37" s="27">
        <f>G37*AP37</f>
        <v>0</v>
      </c>
      <c r="BJ37" s="27">
        <f>G37*H37</f>
        <v>0</v>
      </c>
      <c r="BK37" s="27"/>
      <c r="BL37" s="27">
        <v>711</v>
      </c>
      <c r="BW37" s="27" t="str">
        <f>I37</f>
        <v>21</v>
      </c>
      <c r="BX37" s="3" t="s">
        <v>143</v>
      </c>
    </row>
    <row r="38" spans="1:76" ht="15" customHeight="1" x14ac:dyDescent="0.25">
      <c r="A38" s="26" t="s">
        <v>144</v>
      </c>
      <c r="B38" s="4"/>
      <c r="C38" s="4" t="s">
        <v>145</v>
      </c>
      <c r="D38" s="65" t="s">
        <v>146</v>
      </c>
      <c r="E38" s="65"/>
      <c r="F38" s="4" t="s">
        <v>83</v>
      </c>
      <c r="G38" s="27">
        <v>7</v>
      </c>
      <c r="H38" s="27">
        <v>0</v>
      </c>
      <c r="I38" s="28" t="s">
        <v>61</v>
      </c>
      <c r="J38" s="27">
        <f>G38*AO38</f>
        <v>0</v>
      </c>
      <c r="K38" s="27">
        <f>G38*AP38</f>
        <v>0</v>
      </c>
      <c r="L38" s="27">
        <f>G38*H38</f>
        <v>0</v>
      </c>
      <c r="M38" s="27">
        <f>L38*(1+BW38/100)</f>
        <v>0</v>
      </c>
      <c r="N38" s="27">
        <v>2.5000000000000001E-3</v>
      </c>
      <c r="O38" s="27">
        <f>G38*N38</f>
        <v>1.7500000000000002E-2</v>
      </c>
      <c r="P38" s="29" t="s">
        <v>62</v>
      </c>
      <c r="Z38" s="27">
        <f>IF(AQ38="5",BJ38,0)</f>
        <v>0</v>
      </c>
      <c r="AB38" s="27">
        <f>IF(AQ38="1",BH38,0)</f>
        <v>0</v>
      </c>
      <c r="AC38" s="27">
        <f>IF(AQ38="1",BI38,0)</f>
        <v>0</v>
      </c>
      <c r="AD38" s="27">
        <f>IF(AQ38="7",BH38,0)</f>
        <v>0</v>
      </c>
      <c r="AE38" s="27">
        <f>IF(AQ38="7",BI38,0)</f>
        <v>0</v>
      </c>
      <c r="AF38" s="27">
        <f>IF(AQ38="2",BH38,0)</f>
        <v>0</v>
      </c>
      <c r="AG38" s="27">
        <f>IF(AQ38="2",BI38,0)</f>
        <v>0</v>
      </c>
      <c r="AH38" s="27">
        <f>IF(AQ38="0",BJ38,0)</f>
        <v>0</v>
      </c>
      <c r="AI38" s="13"/>
      <c r="AJ38" s="27">
        <f>IF(AN38=0,L38,0)</f>
        <v>0</v>
      </c>
      <c r="AK38" s="27">
        <f>IF(AN38=12,L38,0)</f>
        <v>0</v>
      </c>
      <c r="AL38" s="27">
        <f>IF(AN38=21,L38,0)</f>
        <v>0</v>
      </c>
      <c r="AN38" s="27">
        <v>21</v>
      </c>
      <c r="AO38" s="27">
        <f>H38*0.551134994</f>
        <v>0</v>
      </c>
      <c r="AP38" s="27">
        <f>H38*(1-0.551134994)</f>
        <v>0</v>
      </c>
      <c r="AQ38" s="28" t="s">
        <v>94</v>
      </c>
      <c r="AV38" s="27">
        <f>AW38+AX38</f>
        <v>0</v>
      </c>
      <c r="AW38" s="27">
        <f>G38*AO38</f>
        <v>0</v>
      </c>
      <c r="AX38" s="27">
        <f>G38*AP38</f>
        <v>0</v>
      </c>
      <c r="AY38" s="28" t="s">
        <v>139</v>
      </c>
      <c r="AZ38" s="28" t="s">
        <v>140</v>
      </c>
      <c r="BA38" s="13" t="s">
        <v>65</v>
      </c>
      <c r="BC38" s="27">
        <f>AW38+AX38</f>
        <v>0</v>
      </c>
      <c r="BD38" s="27">
        <f>H38/(100-BE38)*100</f>
        <v>0</v>
      </c>
      <c r="BE38" s="27">
        <v>0</v>
      </c>
      <c r="BF38" s="27">
        <f>O38</f>
        <v>1.7500000000000002E-2</v>
      </c>
      <c r="BH38" s="27">
        <f>G38*AO38</f>
        <v>0</v>
      </c>
      <c r="BI38" s="27">
        <f>G38*AP38</f>
        <v>0</v>
      </c>
      <c r="BJ38" s="27">
        <f>G38*H38</f>
        <v>0</v>
      </c>
      <c r="BK38" s="27"/>
      <c r="BL38" s="27">
        <v>711</v>
      </c>
      <c r="BW38" s="27" t="str">
        <f>I38</f>
        <v>21</v>
      </c>
      <c r="BX38" s="3" t="s">
        <v>146</v>
      </c>
    </row>
    <row r="39" spans="1:76" ht="15" customHeight="1" x14ac:dyDescent="0.25">
      <c r="A39" s="26" t="s">
        <v>61</v>
      </c>
      <c r="B39" s="4"/>
      <c r="C39" s="4" t="s">
        <v>147</v>
      </c>
      <c r="D39" s="65" t="s">
        <v>148</v>
      </c>
      <c r="E39" s="65"/>
      <c r="F39" s="4" t="s">
        <v>83</v>
      </c>
      <c r="G39" s="27">
        <v>11</v>
      </c>
      <c r="H39" s="27">
        <v>0</v>
      </c>
      <c r="I39" s="28" t="s">
        <v>61</v>
      </c>
      <c r="J39" s="27">
        <f>G39*AO39</f>
        <v>0</v>
      </c>
      <c r="K39" s="27">
        <f>G39*AP39</f>
        <v>0</v>
      </c>
      <c r="L39" s="27">
        <f>G39*H39</f>
        <v>0</v>
      </c>
      <c r="M39" s="27">
        <f>L39*(1+BW39/100)</f>
        <v>0</v>
      </c>
      <c r="N39" s="27">
        <v>1.2600000000000001E-3</v>
      </c>
      <c r="O39" s="27">
        <f>G39*N39</f>
        <v>1.3860000000000001E-2</v>
      </c>
      <c r="P39" s="29" t="s">
        <v>62</v>
      </c>
      <c r="Z39" s="27">
        <f>IF(AQ39="5",BJ39,0)</f>
        <v>0</v>
      </c>
      <c r="AB39" s="27">
        <f>IF(AQ39="1",BH39,0)</f>
        <v>0</v>
      </c>
      <c r="AC39" s="27">
        <f>IF(AQ39="1",BI39,0)</f>
        <v>0</v>
      </c>
      <c r="AD39" s="27">
        <f>IF(AQ39="7",BH39,0)</f>
        <v>0</v>
      </c>
      <c r="AE39" s="27">
        <f>IF(AQ39="7",BI39,0)</f>
        <v>0</v>
      </c>
      <c r="AF39" s="27">
        <f>IF(AQ39="2",BH39,0)</f>
        <v>0</v>
      </c>
      <c r="AG39" s="27">
        <f>IF(AQ39="2",BI39,0)</f>
        <v>0</v>
      </c>
      <c r="AH39" s="27">
        <f>IF(AQ39="0",BJ39,0)</f>
        <v>0</v>
      </c>
      <c r="AI39" s="13"/>
      <c r="AJ39" s="27">
        <f>IF(AN39=0,L39,0)</f>
        <v>0</v>
      </c>
      <c r="AK39" s="27">
        <f>IF(AN39=12,L39,0)</f>
        <v>0</v>
      </c>
      <c r="AL39" s="27">
        <f>IF(AN39=21,L39,0)</f>
        <v>0</v>
      </c>
      <c r="AN39" s="27">
        <v>21</v>
      </c>
      <c r="AO39" s="27">
        <f>H39*0.603</f>
        <v>0</v>
      </c>
      <c r="AP39" s="27">
        <f>H39*(1-0.603)</f>
        <v>0</v>
      </c>
      <c r="AQ39" s="28" t="s">
        <v>94</v>
      </c>
      <c r="AV39" s="27">
        <f>AW39+AX39</f>
        <v>0</v>
      </c>
      <c r="AW39" s="27">
        <f>G39*AO39</f>
        <v>0</v>
      </c>
      <c r="AX39" s="27">
        <f>G39*AP39</f>
        <v>0</v>
      </c>
      <c r="AY39" s="28" t="s">
        <v>139</v>
      </c>
      <c r="AZ39" s="28" t="s">
        <v>140</v>
      </c>
      <c r="BA39" s="13" t="s">
        <v>65</v>
      </c>
      <c r="BC39" s="27">
        <f>AW39+AX39</f>
        <v>0</v>
      </c>
      <c r="BD39" s="27">
        <f>H39/(100-BE39)*100</f>
        <v>0</v>
      </c>
      <c r="BE39" s="27">
        <v>0</v>
      </c>
      <c r="BF39" s="27">
        <f>O39</f>
        <v>1.3860000000000001E-2</v>
      </c>
      <c r="BH39" s="27">
        <f>G39*AO39</f>
        <v>0</v>
      </c>
      <c r="BI39" s="27">
        <f>G39*AP39</f>
        <v>0</v>
      </c>
      <c r="BJ39" s="27">
        <f>G39*H39</f>
        <v>0</v>
      </c>
      <c r="BK39" s="27"/>
      <c r="BL39" s="27">
        <v>711</v>
      </c>
      <c r="BW39" s="27" t="str">
        <f>I39</f>
        <v>21</v>
      </c>
      <c r="BX39" s="3" t="s">
        <v>148</v>
      </c>
    </row>
    <row r="40" spans="1:76" ht="15" customHeight="1" x14ac:dyDescent="0.25">
      <c r="A40" s="26" t="s">
        <v>149</v>
      </c>
      <c r="B40" s="4"/>
      <c r="C40" s="4" t="s">
        <v>150</v>
      </c>
      <c r="D40" s="65" t="s">
        <v>151</v>
      </c>
      <c r="E40" s="65"/>
      <c r="F40" s="4" t="s">
        <v>152</v>
      </c>
      <c r="G40" s="27">
        <v>76</v>
      </c>
      <c r="H40" s="27">
        <v>0</v>
      </c>
      <c r="I40" s="28" t="s">
        <v>61</v>
      </c>
      <c r="J40" s="27">
        <f>G40*AO40</f>
        <v>0</v>
      </c>
      <c r="K40" s="27">
        <f>G40*AP40</f>
        <v>0</v>
      </c>
      <c r="L40" s="27">
        <f>G40*H40</f>
        <v>0</v>
      </c>
      <c r="M40" s="27">
        <f>L40*(1+BW40/100)</f>
        <v>0</v>
      </c>
      <c r="N40" s="27">
        <v>0</v>
      </c>
      <c r="O40" s="27">
        <f>G40*N40</f>
        <v>0</v>
      </c>
      <c r="P40" s="29" t="s">
        <v>62</v>
      </c>
      <c r="Z40" s="27">
        <f>IF(AQ40="5",BJ40,0)</f>
        <v>0</v>
      </c>
      <c r="AB40" s="27">
        <f>IF(AQ40="1",BH40,0)</f>
        <v>0</v>
      </c>
      <c r="AC40" s="27">
        <f>IF(AQ40="1",BI40,0)</f>
        <v>0</v>
      </c>
      <c r="AD40" s="27">
        <f>IF(AQ40="7",BH40,0)</f>
        <v>0</v>
      </c>
      <c r="AE40" s="27">
        <f>IF(AQ40="7",BI40,0)</f>
        <v>0</v>
      </c>
      <c r="AF40" s="27">
        <f>IF(AQ40="2",BH40,0)</f>
        <v>0</v>
      </c>
      <c r="AG40" s="27">
        <f>IF(AQ40="2",BI40,0)</f>
        <v>0</v>
      </c>
      <c r="AH40" s="27">
        <f>IF(AQ40="0",BJ40,0)</f>
        <v>0</v>
      </c>
      <c r="AI40" s="13"/>
      <c r="AJ40" s="27">
        <f>IF(AN40=0,L40,0)</f>
        <v>0</v>
      </c>
      <c r="AK40" s="27">
        <f>IF(AN40=12,L40,0)</f>
        <v>0</v>
      </c>
      <c r="AL40" s="27">
        <f>IF(AN40=21,L40,0)</f>
        <v>0</v>
      </c>
      <c r="AN40" s="27">
        <v>21</v>
      </c>
      <c r="AO40" s="27">
        <f>H40*0.635369128</f>
        <v>0</v>
      </c>
      <c r="AP40" s="27">
        <f>H40*(1-0.635369128)</f>
        <v>0</v>
      </c>
      <c r="AQ40" s="28" t="s">
        <v>94</v>
      </c>
      <c r="AV40" s="27">
        <f>AW40+AX40</f>
        <v>0</v>
      </c>
      <c r="AW40" s="27">
        <f>G40*AO40</f>
        <v>0</v>
      </c>
      <c r="AX40" s="27">
        <f>G40*AP40</f>
        <v>0</v>
      </c>
      <c r="AY40" s="28" t="s">
        <v>139</v>
      </c>
      <c r="AZ40" s="28" t="s">
        <v>140</v>
      </c>
      <c r="BA40" s="13" t="s">
        <v>65</v>
      </c>
      <c r="BC40" s="27">
        <f>AW40+AX40</f>
        <v>0</v>
      </c>
      <c r="BD40" s="27">
        <f>H40/(100-BE40)*100</f>
        <v>0</v>
      </c>
      <c r="BE40" s="27">
        <v>0</v>
      </c>
      <c r="BF40" s="27">
        <f>O40</f>
        <v>0</v>
      </c>
      <c r="BH40" s="27">
        <f>G40*AO40</f>
        <v>0</v>
      </c>
      <c r="BI40" s="27">
        <f>G40*AP40</f>
        <v>0</v>
      </c>
      <c r="BJ40" s="27">
        <f>G40*H40</f>
        <v>0</v>
      </c>
      <c r="BK40" s="27"/>
      <c r="BL40" s="27">
        <v>711</v>
      </c>
      <c r="BW40" s="27" t="str">
        <f>I40</f>
        <v>21</v>
      </c>
      <c r="BX40" s="3" t="s">
        <v>151</v>
      </c>
    </row>
    <row r="41" spans="1:76" ht="15" customHeight="1" x14ac:dyDescent="0.25">
      <c r="A41" s="22"/>
      <c r="B41" s="23"/>
      <c r="C41" s="23" t="s">
        <v>153</v>
      </c>
      <c r="D41" s="74" t="s">
        <v>154</v>
      </c>
      <c r="E41" s="74"/>
      <c r="F41" s="24" t="s">
        <v>4</v>
      </c>
      <c r="G41" s="24" t="s">
        <v>4</v>
      </c>
      <c r="H41" s="24" t="s">
        <v>4</v>
      </c>
      <c r="I41" s="24" t="s">
        <v>4</v>
      </c>
      <c r="J41" s="2">
        <f>SUM(J42:J44)</f>
        <v>0</v>
      </c>
      <c r="K41" s="2">
        <f>SUM(K42:K44)</f>
        <v>0</v>
      </c>
      <c r="L41" s="2">
        <f>SUM(L42:L44)</f>
        <v>0</v>
      </c>
      <c r="M41" s="2">
        <f>SUM(M42:M44)</f>
        <v>0</v>
      </c>
      <c r="N41" s="13"/>
      <c r="O41" s="2">
        <f>SUM(O42:O44)</f>
        <v>7.7100000000000016E-2</v>
      </c>
      <c r="P41" s="25"/>
      <c r="AI41" s="13"/>
      <c r="AS41" s="2">
        <f>SUM(AJ42:AJ44)</f>
        <v>0</v>
      </c>
      <c r="AT41" s="2">
        <f>SUM(AK42:AK44)</f>
        <v>0</v>
      </c>
      <c r="AU41" s="2">
        <f>SUM(AL42:AL44)</f>
        <v>0</v>
      </c>
    </row>
    <row r="42" spans="1:76" ht="15" customHeight="1" x14ac:dyDescent="0.25">
      <c r="A42" s="26" t="s">
        <v>155</v>
      </c>
      <c r="B42" s="4"/>
      <c r="C42" s="4" t="s">
        <v>156</v>
      </c>
      <c r="D42" s="65" t="s">
        <v>157</v>
      </c>
      <c r="E42" s="65"/>
      <c r="F42" s="4" t="s">
        <v>71</v>
      </c>
      <c r="G42" s="27">
        <v>32</v>
      </c>
      <c r="H42" s="27">
        <v>0</v>
      </c>
      <c r="I42" s="28" t="s">
        <v>61</v>
      </c>
      <c r="J42" s="27">
        <f>G42*AO42</f>
        <v>0</v>
      </c>
      <c r="K42" s="27">
        <f>G42*AP42</f>
        <v>0</v>
      </c>
      <c r="L42" s="27">
        <f>G42*H42</f>
        <v>0</v>
      </c>
      <c r="M42" s="27">
        <f>L42*(1+BW42/100)</f>
        <v>0</v>
      </c>
      <c r="N42" s="27">
        <v>1.6000000000000001E-4</v>
      </c>
      <c r="O42" s="27">
        <f>G42*N42</f>
        <v>5.1200000000000004E-3</v>
      </c>
      <c r="P42" s="29" t="s">
        <v>62</v>
      </c>
      <c r="Z42" s="27">
        <f>IF(AQ42="5",BJ42,0)</f>
        <v>0</v>
      </c>
      <c r="AB42" s="27">
        <f>IF(AQ42="1",BH42,0)</f>
        <v>0</v>
      </c>
      <c r="AC42" s="27">
        <f>IF(AQ42="1",BI42,0)</f>
        <v>0</v>
      </c>
      <c r="AD42" s="27">
        <f>IF(AQ42="7",BH42,0)</f>
        <v>0</v>
      </c>
      <c r="AE42" s="27">
        <f>IF(AQ42="7",BI42,0)</f>
        <v>0</v>
      </c>
      <c r="AF42" s="27">
        <f>IF(AQ42="2",BH42,0)</f>
        <v>0</v>
      </c>
      <c r="AG42" s="27">
        <f>IF(AQ42="2",BI42,0)</f>
        <v>0</v>
      </c>
      <c r="AH42" s="27">
        <f>IF(AQ42="0",BJ42,0)</f>
        <v>0</v>
      </c>
      <c r="AI42" s="13"/>
      <c r="AJ42" s="27">
        <f>IF(AN42=0,L42,0)</f>
        <v>0</v>
      </c>
      <c r="AK42" s="27">
        <f>IF(AN42=12,L42,0)</f>
        <v>0</v>
      </c>
      <c r="AL42" s="27">
        <f>IF(AN42=21,L42,0)</f>
        <v>0</v>
      </c>
      <c r="AN42" s="27">
        <v>21</v>
      </c>
      <c r="AO42" s="27">
        <f>H42*0.660756501</f>
        <v>0</v>
      </c>
      <c r="AP42" s="27">
        <f>H42*(1-0.660756501)</f>
        <v>0</v>
      </c>
      <c r="AQ42" s="28" t="s">
        <v>94</v>
      </c>
      <c r="AV42" s="27">
        <f>AW42+AX42</f>
        <v>0</v>
      </c>
      <c r="AW42" s="27">
        <f>G42*AO42</f>
        <v>0</v>
      </c>
      <c r="AX42" s="27">
        <f>G42*AP42</f>
        <v>0</v>
      </c>
      <c r="AY42" s="28" t="s">
        <v>158</v>
      </c>
      <c r="AZ42" s="28" t="s">
        <v>140</v>
      </c>
      <c r="BA42" s="13" t="s">
        <v>65</v>
      </c>
      <c r="BC42" s="27">
        <f>AW42+AX42</f>
        <v>0</v>
      </c>
      <c r="BD42" s="27">
        <f>H42/(100-BE42)*100</f>
        <v>0</v>
      </c>
      <c r="BE42" s="27">
        <v>0</v>
      </c>
      <c r="BF42" s="27">
        <f>O42</f>
        <v>5.1200000000000004E-3</v>
      </c>
      <c r="BH42" s="27">
        <f>G42*AO42</f>
        <v>0</v>
      </c>
      <c r="BI42" s="27">
        <f>G42*AP42</f>
        <v>0</v>
      </c>
      <c r="BJ42" s="27">
        <f>G42*H42</f>
        <v>0</v>
      </c>
      <c r="BK42" s="27"/>
      <c r="BL42" s="27">
        <v>713</v>
      </c>
      <c r="BW42" s="27" t="str">
        <f>I42</f>
        <v>21</v>
      </c>
      <c r="BX42" s="3" t="s">
        <v>157</v>
      </c>
    </row>
    <row r="43" spans="1:76" ht="15" customHeight="1" x14ac:dyDescent="0.25">
      <c r="A43" s="26" t="s">
        <v>159</v>
      </c>
      <c r="B43" s="4"/>
      <c r="C43" s="4" t="s">
        <v>160</v>
      </c>
      <c r="D43" s="65" t="s">
        <v>161</v>
      </c>
      <c r="E43" s="65"/>
      <c r="F43" s="4" t="s">
        <v>83</v>
      </c>
      <c r="G43" s="27">
        <v>59</v>
      </c>
      <c r="H43" s="27">
        <v>0</v>
      </c>
      <c r="I43" s="28" t="s">
        <v>61</v>
      </c>
      <c r="J43" s="27">
        <f>G43*AO43</f>
        <v>0</v>
      </c>
      <c r="K43" s="27">
        <f>G43*AP43</f>
        <v>0</v>
      </c>
      <c r="L43" s="27">
        <f>G43*H43</f>
        <v>0</v>
      </c>
      <c r="M43" s="27">
        <f>L43*(1+BW43/100)</f>
        <v>0</v>
      </c>
      <c r="N43" s="27">
        <v>1.0200000000000001E-3</v>
      </c>
      <c r="O43" s="27">
        <f>G43*N43</f>
        <v>6.0180000000000004E-2</v>
      </c>
      <c r="P43" s="29" t="s">
        <v>62</v>
      </c>
      <c r="Z43" s="27">
        <f>IF(AQ43="5",BJ43,0)</f>
        <v>0</v>
      </c>
      <c r="AB43" s="27">
        <f>IF(AQ43="1",BH43,0)</f>
        <v>0</v>
      </c>
      <c r="AC43" s="27">
        <f>IF(AQ43="1",BI43,0)</f>
        <v>0</v>
      </c>
      <c r="AD43" s="27">
        <f>IF(AQ43="7",BH43,0)</f>
        <v>0</v>
      </c>
      <c r="AE43" s="27">
        <f>IF(AQ43="7",BI43,0)</f>
        <v>0</v>
      </c>
      <c r="AF43" s="27">
        <f>IF(AQ43="2",BH43,0)</f>
        <v>0</v>
      </c>
      <c r="AG43" s="27">
        <f>IF(AQ43="2",BI43,0)</f>
        <v>0</v>
      </c>
      <c r="AH43" s="27">
        <f>IF(AQ43="0",BJ43,0)</f>
        <v>0</v>
      </c>
      <c r="AI43" s="13"/>
      <c r="AJ43" s="27">
        <f>IF(AN43=0,L43,0)</f>
        <v>0</v>
      </c>
      <c r="AK43" s="27">
        <f>IF(AN43=12,L43,0)</f>
        <v>0</v>
      </c>
      <c r="AL43" s="27">
        <f>IF(AN43=21,L43,0)</f>
        <v>0</v>
      </c>
      <c r="AN43" s="27">
        <v>21</v>
      </c>
      <c r="AO43" s="27">
        <f>H43*0.550340782</f>
        <v>0</v>
      </c>
      <c r="AP43" s="27">
        <f>H43*(1-0.550340782)</f>
        <v>0</v>
      </c>
      <c r="AQ43" s="28" t="s">
        <v>94</v>
      </c>
      <c r="AV43" s="27">
        <f>AW43+AX43</f>
        <v>0</v>
      </c>
      <c r="AW43" s="27">
        <f>G43*AO43</f>
        <v>0</v>
      </c>
      <c r="AX43" s="27">
        <f>G43*AP43</f>
        <v>0</v>
      </c>
      <c r="AY43" s="28" t="s">
        <v>158</v>
      </c>
      <c r="AZ43" s="28" t="s">
        <v>140</v>
      </c>
      <c r="BA43" s="13" t="s">
        <v>65</v>
      </c>
      <c r="BC43" s="27">
        <f>AW43+AX43</f>
        <v>0</v>
      </c>
      <c r="BD43" s="27">
        <f>H43/(100-BE43)*100</f>
        <v>0</v>
      </c>
      <c r="BE43" s="27">
        <v>0</v>
      </c>
      <c r="BF43" s="27">
        <f>O43</f>
        <v>6.0180000000000004E-2</v>
      </c>
      <c r="BH43" s="27">
        <f>G43*AO43</f>
        <v>0</v>
      </c>
      <c r="BI43" s="27">
        <f>G43*AP43</f>
        <v>0</v>
      </c>
      <c r="BJ43" s="27">
        <f>G43*H43</f>
        <v>0</v>
      </c>
      <c r="BK43" s="27"/>
      <c r="BL43" s="27">
        <v>713</v>
      </c>
      <c r="BW43" s="27" t="str">
        <f>I43</f>
        <v>21</v>
      </c>
      <c r="BX43" s="3" t="s">
        <v>161</v>
      </c>
    </row>
    <row r="44" spans="1:76" ht="15" customHeight="1" x14ac:dyDescent="0.25">
      <c r="A44" s="26" t="s">
        <v>162</v>
      </c>
      <c r="B44" s="4"/>
      <c r="C44" s="4" t="s">
        <v>163</v>
      </c>
      <c r="D44" s="65" t="s">
        <v>164</v>
      </c>
      <c r="E44" s="65"/>
      <c r="F44" s="4" t="s">
        <v>83</v>
      </c>
      <c r="G44" s="27">
        <v>59</v>
      </c>
      <c r="H44" s="27">
        <v>0</v>
      </c>
      <c r="I44" s="28" t="s">
        <v>61</v>
      </c>
      <c r="J44" s="27">
        <f>G44*AO44</f>
        <v>0</v>
      </c>
      <c r="K44" s="27">
        <f>G44*AP44</f>
        <v>0</v>
      </c>
      <c r="L44" s="27">
        <f>G44*H44</f>
        <v>0</v>
      </c>
      <c r="M44" s="27">
        <f>L44*(1+BW44/100)</f>
        <v>0</v>
      </c>
      <c r="N44" s="27">
        <v>2.0000000000000001E-4</v>
      </c>
      <c r="O44" s="27">
        <f>G44*N44</f>
        <v>1.18E-2</v>
      </c>
      <c r="P44" s="29" t="s">
        <v>62</v>
      </c>
      <c r="Z44" s="27">
        <f>IF(AQ44="5",BJ44,0)</f>
        <v>0</v>
      </c>
      <c r="AB44" s="27">
        <f>IF(AQ44="1",BH44,0)</f>
        <v>0</v>
      </c>
      <c r="AC44" s="27">
        <f>IF(AQ44="1",BI44,0)</f>
        <v>0</v>
      </c>
      <c r="AD44" s="27">
        <f>IF(AQ44="7",BH44,0)</f>
        <v>0</v>
      </c>
      <c r="AE44" s="27">
        <f>IF(AQ44="7",BI44,0)</f>
        <v>0</v>
      </c>
      <c r="AF44" s="27">
        <f>IF(AQ44="2",BH44,0)</f>
        <v>0</v>
      </c>
      <c r="AG44" s="27">
        <f>IF(AQ44="2",BI44,0)</f>
        <v>0</v>
      </c>
      <c r="AH44" s="27">
        <f>IF(AQ44="0",BJ44,0)</f>
        <v>0</v>
      </c>
      <c r="AI44" s="13"/>
      <c r="AJ44" s="27">
        <f>IF(AN44=0,L44,0)</f>
        <v>0</v>
      </c>
      <c r="AK44" s="27">
        <f>IF(AN44=12,L44,0)</f>
        <v>0</v>
      </c>
      <c r="AL44" s="27">
        <f>IF(AN44=21,L44,0)</f>
        <v>0</v>
      </c>
      <c r="AN44" s="27">
        <v>21</v>
      </c>
      <c r="AO44" s="27">
        <f>H44*0.662352941</f>
        <v>0</v>
      </c>
      <c r="AP44" s="27">
        <f>H44*(1-0.662352941)</f>
        <v>0</v>
      </c>
      <c r="AQ44" s="28" t="s">
        <v>94</v>
      </c>
      <c r="AV44" s="27">
        <f>AW44+AX44</f>
        <v>0</v>
      </c>
      <c r="AW44" s="27">
        <f>G44*AO44</f>
        <v>0</v>
      </c>
      <c r="AX44" s="27">
        <f>G44*AP44</f>
        <v>0</v>
      </c>
      <c r="AY44" s="28" t="s">
        <v>158</v>
      </c>
      <c r="AZ44" s="28" t="s">
        <v>140</v>
      </c>
      <c r="BA44" s="13" t="s">
        <v>65</v>
      </c>
      <c r="BC44" s="27">
        <f>AW44+AX44</f>
        <v>0</v>
      </c>
      <c r="BD44" s="27">
        <f>H44/(100-BE44)*100</f>
        <v>0</v>
      </c>
      <c r="BE44" s="27">
        <v>0</v>
      </c>
      <c r="BF44" s="27">
        <f>O44</f>
        <v>1.18E-2</v>
      </c>
      <c r="BH44" s="27">
        <f>G44*AO44</f>
        <v>0</v>
      </c>
      <c r="BI44" s="27">
        <f>G44*AP44</f>
        <v>0</v>
      </c>
      <c r="BJ44" s="27">
        <f>G44*H44</f>
        <v>0</v>
      </c>
      <c r="BK44" s="27"/>
      <c r="BL44" s="27">
        <v>713</v>
      </c>
      <c r="BW44" s="27" t="str">
        <f>I44</f>
        <v>21</v>
      </c>
      <c r="BX44" s="3" t="s">
        <v>164</v>
      </c>
    </row>
    <row r="45" spans="1:76" ht="15" customHeight="1" x14ac:dyDescent="0.25">
      <c r="A45" s="22"/>
      <c r="B45" s="23"/>
      <c r="C45" s="23" t="s">
        <v>165</v>
      </c>
      <c r="D45" s="74" t="s">
        <v>166</v>
      </c>
      <c r="E45" s="74"/>
      <c r="F45" s="24" t="s">
        <v>4</v>
      </c>
      <c r="G45" s="24" t="s">
        <v>4</v>
      </c>
      <c r="H45" s="24"/>
      <c r="I45" s="24" t="s">
        <v>4</v>
      </c>
      <c r="J45" s="2">
        <f>SUM(J46:J50)</f>
        <v>0</v>
      </c>
      <c r="K45" s="2">
        <f>SUM(K46:K50)</f>
        <v>0</v>
      </c>
      <c r="L45" s="2">
        <f>SUM(L46:L50)</f>
        <v>0</v>
      </c>
      <c r="M45" s="2">
        <f>SUM(M46:M50)</f>
        <v>0</v>
      </c>
      <c r="N45" s="13"/>
      <c r="O45" s="2">
        <f>SUM(O46:O50)</f>
        <v>0</v>
      </c>
      <c r="P45" s="25"/>
      <c r="AI45" s="13"/>
      <c r="AS45" s="2">
        <f>SUM(AJ46:AJ50)</f>
        <v>0</v>
      </c>
      <c r="AT45" s="2">
        <f>SUM(AK46:AK50)</f>
        <v>0</v>
      </c>
      <c r="AU45" s="2">
        <f>SUM(AL46:AL50)</f>
        <v>0</v>
      </c>
    </row>
    <row r="46" spans="1:76" ht="15" customHeight="1" x14ac:dyDescent="0.25">
      <c r="A46" s="26" t="s">
        <v>167</v>
      </c>
      <c r="B46" s="4"/>
      <c r="C46" s="4" t="s">
        <v>168</v>
      </c>
      <c r="D46" s="65" t="s">
        <v>169</v>
      </c>
      <c r="E46" s="65"/>
      <c r="F46" s="4" t="s">
        <v>71</v>
      </c>
      <c r="G46" s="27">
        <v>14</v>
      </c>
      <c r="H46" s="27">
        <v>0</v>
      </c>
      <c r="I46" s="28" t="s">
        <v>61</v>
      </c>
      <c r="J46" s="27">
        <f>G46*AO46</f>
        <v>0</v>
      </c>
      <c r="K46" s="27">
        <f>G46*AP46</f>
        <v>0</v>
      </c>
      <c r="L46" s="27">
        <f>G46*H46</f>
        <v>0</v>
      </c>
      <c r="M46" s="27">
        <f>L46*(1+BW46/100)</f>
        <v>0</v>
      </c>
      <c r="N46" s="27">
        <v>0</v>
      </c>
      <c r="O46" s="27">
        <f>G46*N46</f>
        <v>0</v>
      </c>
      <c r="P46" s="29" t="s">
        <v>62</v>
      </c>
      <c r="Z46" s="27">
        <f>IF(AQ46="5",BJ46,0)</f>
        <v>0</v>
      </c>
      <c r="AB46" s="27">
        <f>IF(AQ46="1",BH46,0)</f>
        <v>0</v>
      </c>
      <c r="AC46" s="27">
        <f>IF(AQ46="1",BI46,0)</f>
        <v>0</v>
      </c>
      <c r="AD46" s="27">
        <f>IF(AQ46="7",BH46,0)</f>
        <v>0</v>
      </c>
      <c r="AE46" s="27">
        <f>IF(AQ46="7",BI46,0)</f>
        <v>0</v>
      </c>
      <c r="AF46" s="27">
        <f>IF(AQ46="2",BH46,0)</f>
        <v>0</v>
      </c>
      <c r="AG46" s="27">
        <f>IF(AQ46="2",BI46,0)</f>
        <v>0</v>
      </c>
      <c r="AH46" s="27">
        <f>IF(AQ46="0",BJ46,0)</f>
        <v>0</v>
      </c>
      <c r="AI46" s="13"/>
      <c r="AJ46" s="27">
        <f>IF(AN46=0,L46,0)</f>
        <v>0</v>
      </c>
      <c r="AK46" s="27">
        <f>IF(AN46=12,L46,0)</f>
        <v>0</v>
      </c>
      <c r="AL46" s="27">
        <f>IF(AN46=21,L46,0)</f>
        <v>0</v>
      </c>
      <c r="AN46" s="27">
        <v>21</v>
      </c>
      <c r="AO46" s="27">
        <f>H46*0.580821281</f>
        <v>0</v>
      </c>
      <c r="AP46" s="27">
        <f>H46*(1-0.580821281)</f>
        <v>0</v>
      </c>
      <c r="AQ46" s="28" t="s">
        <v>94</v>
      </c>
      <c r="AV46" s="27">
        <f>AW46+AX46</f>
        <v>0</v>
      </c>
      <c r="AW46" s="27">
        <f>G46*AO46</f>
        <v>0</v>
      </c>
      <c r="AX46" s="27">
        <f>G46*AP46</f>
        <v>0</v>
      </c>
      <c r="AY46" s="28" t="s">
        <v>170</v>
      </c>
      <c r="AZ46" s="28" t="s">
        <v>171</v>
      </c>
      <c r="BA46" s="13" t="s">
        <v>65</v>
      </c>
      <c r="BC46" s="27">
        <f>AW46+AX46</f>
        <v>0</v>
      </c>
      <c r="BD46" s="27">
        <f>H46/(100-BE46)*100</f>
        <v>0</v>
      </c>
      <c r="BE46" s="27">
        <v>0</v>
      </c>
      <c r="BF46" s="27">
        <f>O46</f>
        <v>0</v>
      </c>
      <c r="BH46" s="27">
        <f>G46*AO46</f>
        <v>0</v>
      </c>
      <c r="BI46" s="27">
        <f>G46*AP46</f>
        <v>0</v>
      </c>
      <c r="BJ46" s="27">
        <f>G46*H46</f>
        <v>0</v>
      </c>
      <c r="BK46" s="27"/>
      <c r="BL46" s="27">
        <v>728</v>
      </c>
      <c r="BW46" s="27" t="str">
        <f>I46</f>
        <v>21</v>
      </c>
      <c r="BX46" s="3" t="s">
        <v>169</v>
      </c>
    </row>
    <row r="47" spans="1:76" ht="15" customHeight="1" x14ac:dyDescent="0.25">
      <c r="A47" s="26" t="s">
        <v>172</v>
      </c>
      <c r="B47" s="4"/>
      <c r="C47" s="4" t="s">
        <v>173</v>
      </c>
      <c r="D47" s="65" t="s">
        <v>174</v>
      </c>
      <c r="E47" s="65"/>
      <c r="F47" s="4" t="s">
        <v>175</v>
      </c>
      <c r="G47" s="27">
        <v>1</v>
      </c>
      <c r="H47" s="27">
        <v>0</v>
      </c>
      <c r="I47" s="28" t="s">
        <v>61</v>
      </c>
      <c r="J47" s="27">
        <f>G47*AO47</f>
        <v>0</v>
      </c>
      <c r="K47" s="27">
        <f>G47*AP47</f>
        <v>0</v>
      </c>
      <c r="L47" s="27">
        <f>G47*H47</f>
        <v>0</v>
      </c>
      <c r="M47" s="27">
        <f>L47*(1+BW47/100)</f>
        <v>0</v>
      </c>
      <c r="N47" s="27">
        <v>0</v>
      </c>
      <c r="O47" s="27">
        <f>G47*N47</f>
        <v>0</v>
      </c>
      <c r="P47" s="29" t="s">
        <v>62</v>
      </c>
      <c r="Z47" s="27">
        <f>IF(AQ47="5",BJ47,0)</f>
        <v>0</v>
      </c>
      <c r="AB47" s="27">
        <f>IF(AQ47="1",BH47,0)</f>
        <v>0</v>
      </c>
      <c r="AC47" s="27">
        <f>IF(AQ47="1",BI47,0)</f>
        <v>0</v>
      </c>
      <c r="AD47" s="27">
        <f>IF(AQ47="7",BH47,0)</f>
        <v>0</v>
      </c>
      <c r="AE47" s="27">
        <f>IF(AQ47="7",BI47,0)</f>
        <v>0</v>
      </c>
      <c r="AF47" s="27">
        <f>IF(AQ47="2",BH47,0)</f>
        <v>0</v>
      </c>
      <c r="AG47" s="27">
        <f>IF(AQ47="2",BI47,0)</f>
        <v>0</v>
      </c>
      <c r="AH47" s="27">
        <f>IF(AQ47="0",BJ47,0)</f>
        <v>0</v>
      </c>
      <c r="AI47" s="13"/>
      <c r="AJ47" s="27">
        <f>IF(AN47=0,L47,0)</f>
        <v>0</v>
      </c>
      <c r="AK47" s="27">
        <f>IF(AN47=12,L47,0)</f>
        <v>0</v>
      </c>
      <c r="AL47" s="27">
        <f>IF(AN47=21,L47,0)</f>
        <v>0</v>
      </c>
      <c r="AN47" s="27">
        <v>21</v>
      </c>
      <c r="AO47" s="27">
        <f>H47*0.59084195</f>
        <v>0</v>
      </c>
      <c r="AP47" s="27">
        <f>H47*(1-0.59084195)</f>
        <v>0</v>
      </c>
      <c r="AQ47" s="28" t="s">
        <v>94</v>
      </c>
      <c r="AV47" s="27">
        <f>AW47+AX47</f>
        <v>0</v>
      </c>
      <c r="AW47" s="27">
        <f>G47*AO47</f>
        <v>0</v>
      </c>
      <c r="AX47" s="27">
        <f>G47*AP47</f>
        <v>0</v>
      </c>
      <c r="AY47" s="28" t="s">
        <v>170</v>
      </c>
      <c r="AZ47" s="28" t="s">
        <v>171</v>
      </c>
      <c r="BA47" s="13" t="s">
        <v>65</v>
      </c>
      <c r="BC47" s="27">
        <f>AW47+AX47</f>
        <v>0</v>
      </c>
      <c r="BD47" s="27">
        <f>H47/(100-BE47)*100</f>
        <v>0</v>
      </c>
      <c r="BE47" s="27">
        <v>0</v>
      </c>
      <c r="BF47" s="27">
        <f>O47</f>
        <v>0</v>
      </c>
      <c r="BH47" s="27">
        <f>G47*AO47</f>
        <v>0</v>
      </c>
      <c r="BI47" s="27">
        <f>G47*AP47</f>
        <v>0</v>
      </c>
      <c r="BJ47" s="27">
        <f>G47*H47</f>
        <v>0</v>
      </c>
      <c r="BK47" s="27"/>
      <c r="BL47" s="27">
        <v>728</v>
      </c>
      <c r="BW47" s="27" t="str">
        <f>I47</f>
        <v>21</v>
      </c>
      <c r="BX47" s="3" t="s">
        <v>174</v>
      </c>
    </row>
    <row r="48" spans="1:76" ht="15" customHeight="1" x14ac:dyDescent="0.25">
      <c r="A48" s="26" t="s">
        <v>176</v>
      </c>
      <c r="B48" s="4"/>
      <c r="C48" s="4" t="s">
        <v>177</v>
      </c>
      <c r="D48" s="65" t="s">
        <v>178</v>
      </c>
      <c r="E48" s="65"/>
      <c r="F48" s="4" t="s">
        <v>175</v>
      </c>
      <c r="G48" s="27">
        <v>2</v>
      </c>
      <c r="H48" s="27">
        <v>0</v>
      </c>
      <c r="I48" s="28" t="s">
        <v>61</v>
      </c>
      <c r="J48" s="27">
        <f>G48*AO48</f>
        <v>0</v>
      </c>
      <c r="K48" s="27">
        <f>G48*AP48</f>
        <v>0</v>
      </c>
      <c r="L48" s="27">
        <f>G48*H48</f>
        <v>0</v>
      </c>
      <c r="M48" s="27">
        <f>L48*(1+BW48/100)</f>
        <v>0</v>
      </c>
      <c r="N48" s="27">
        <v>0</v>
      </c>
      <c r="O48" s="27">
        <f>G48*N48</f>
        <v>0</v>
      </c>
      <c r="P48" s="29" t="s">
        <v>62</v>
      </c>
      <c r="Z48" s="27">
        <f>IF(AQ48="5",BJ48,0)</f>
        <v>0</v>
      </c>
      <c r="AB48" s="27">
        <f>IF(AQ48="1",BH48,0)</f>
        <v>0</v>
      </c>
      <c r="AC48" s="27">
        <f>IF(AQ48="1",BI48,0)</f>
        <v>0</v>
      </c>
      <c r="AD48" s="27">
        <f>IF(AQ48="7",BH48,0)</f>
        <v>0</v>
      </c>
      <c r="AE48" s="27">
        <f>IF(AQ48="7",BI48,0)</f>
        <v>0</v>
      </c>
      <c r="AF48" s="27">
        <f>IF(AQ48="2",BH48,0)</f>
        <v>0</v>
      </c>
      <c r="AG48" s="27">
        <f>IF(AQ48="2",BI48,0)</f>
        <v>0</v>
      </c>
      <c r="AH48" s="27">
        <f>IF(AQ48="0",BJ48,0)</f>
        <v>0</v>
      </c>
      <c r="AI48" s="13"/>
      <c r="AJ48" s="27">
        <f>IF(AN48=0,L48,0)</f>
        <v>0</v>
      </c>
      <c r="AK48" s="27">
        <f>IF(AN48=12,L48,0)</f>
        <v>0</v>
      </c>
      <c r="AL48" s="27">
        <f>IF(AN48=21,L48,0)</f>
        <v>0</v>
      </c>
      <c r="AN48" s="27">
        <v>21</v>
      </c>
      <c r="AO48" s="27">
        <f>H48*0.662266275</f>
        <v>0</v>
      </c>
      <c r="AP48" s="27">
        <f>H48*(1-0.662266275)</f>
        <v>0</v>
      </c>
      <c r="AQ48" s="28" t="s">
        <v>94</v>
      </c>
      <c r="AV48" s="27">
        <f>AW48+AX48</f>
        <v>0</v>
      </c>
      <c r="AW48" s="27">
        <f>G48*AO48</f>
        <v>0</v>
      </c>
      <c r="AX48" s="27">
        <f>G48*AP48</f>
        <v>0</v>
      </c>
      <c r="AY48" s="28" t="s">
        <v>170</v>
      </c>
      <c r="AZ48" s="28" t="s">
        <v>171</v>
      </c>
      <c r="BA48" s="13" t="s">
        <v>65</v>
      </c>
      <c r="BC48" s="27">
        <f>AW48+AX48</f>
        <v>0</v>
      </c>
      <c r="BD48" s="27">
        <f>H48/(100-BE48)*100</f>
        <v>0</v>
      </c>
      <c r="BE48" s="27">
        <v>0</v>
      </c>
      <c r="BF48" s="27">
        <f>O48</f>
        <v>0</v>
      </c>
      <c r="BH48" s="27">
        <f>G48*AO48</f>
        <v>0</v>
      </c>
      <c r="BI48" s="27">
        <f>G48*AP48</f>
        <v>0</v>
      </c>
      <c r="BJ48" s="27">
        <f>G48*H48</f>
        <v>0</v>
      </c>
      <c r="BK48" s="27"/>
      <c r="BL48" s="27">
        <v>728</v>
      </c>
      <c r="BW48" s="27" t="str">
        <f>I48</f>
        <v>21</v>
      </c>
      <c r="BX48" s="3" t="s">
        <v>178</v>
      </c>
    </row>
    <row r="49" spans="1:76" ht="15" customHeight="1" x14ac:dyDescent="0.25">
      <c r="A49" s="26" t="s">
        <v>179</v>
      </c>
      <c r="B49" s="4"/>
      <c r="C49" s="4" t="s">
        <v>180</v>
      </c>
      <c r="D49" s="65" t="s">
        <v>181</v>
      </c>
      <c r="E49" s="65"/>
      <c r="F49" s="4" t="s">
        <v>175</v>
      </c>
      <c r="G49" s="27">
        <v>1</v>
      </c>
      <c r="H49" s="27">
        <v>0</v>
      </c>
      <c r="I49" s="28" t="s">
        <v>61</v>
      </c>
      <c r="J49" s="27">
        <f>G49*AO49</f>
        <v>0</v>
      </c>
      <c r="K49" s="27">
        <f>G49*AP49</f>
        <v>0</v>
      </c>
      <c r="L49" s="27">
        <f>G49*H49</f>
        <v>0</v>
      </c>
      <c r="M49" s="27">
        <f>L49*(1+BW49/100)</f>
        <v>0</v>
      </c>
      <c r="N49" s="27">
        <v>0</v>
      </c>
      <c r="O49" s="27">
        <f>G49*N49</f>
        <v>0</v>
      </c>
      <c r="P49" s="29" t="s">
        <v>62</v>
      </c>
      <c r="Z49" s="27">
        <f>IF(AQ49="5",BJ49,0)</f>
        <v>0</v>
      </c>
      <c r="AB49" s="27">
        <f>IF(AQ49="1",BH49,0)</f>
        <v>0</v>
      </c>
      <c r="AC49" s="27">
        <f>IF(AQ49="1",BI49,0)</f>
        <v>0</v>
      </c>
      <c r="AD49" s="27">
        <f>IF(AQ49="7",BH49,0)</f>
        <v>0</v>
      </c>
      <c r="AE49" s="27">
        <f>IF(AQ49="7",BI49,0)</f>
        <v>0</v>
      </c>
      <c r="AF49" s="27">
        <f>IF(AQ49="2",BH49,0)</f>
        <v>0</v>
      </c>
      <c r="AG49" s="27">
        <f>IF(AQ49="2",BI49,0)</f>
        <v>0</v>
      </c>
      <c r="AH49" s="27">
        <f>IF(AQ49="0",BJ49,0)</f>
        <v>0</v>
      </c>
      <c r="AI49" s="13"/>
      <c r="AJ49" s="27">
        <f>IF(AN49=0,L49,0)</f>
        <v>0</v>
      </c>
      <c r="AK49" s="27">
        <f>IF(AN49=12,L49,0)</f>
        <v>0</v>
      </c>
      <c r="AL49" s="27">
        <f>IF(AN49=21,L49,0)</f>
        <v>0</v>
      </c>
      <c r="AN49" s="27">
        <v>21</v>
      </c>
      <c r="AO49" s="27">
        <f>H49*0.644084452</f>
        <v>0</v>
      </c>
      <c r="AP49" s="27">
        <f>H49*(1-0.644084452)</f>
        <v>0</v>
      </c>
      <c r="AQ49" s="28" t="s">
        <v>94</v>
      </c>
      <c r="AV49" s="27">
        <f>AW49+AX49</f>
        <v>0</v>
      </c>
      <c r="AW49" s="27">
        <f>G49*AO49</f>
        <v>0</v>
      </c>
      <c r="AX49" s="27">
        <f>G49*AP49</f>
        <v>0</v>
      </c>
      <c r="AY49" s="28" t="s">
        <v>170</v>
      </c>
      <c r="AZ49" s="28" t="s">
        <v>171</v>
      </c>
      <c r="BA49" s="13" t="s">
        <v>65</v>
      </c>
      <c r="BC49" s="27">
        <f>AW49+AX49</f>
        <v>0</v>
      </c>
      <c r="BD49" s="27">
        <f>H49/(100-BE49)*100</f>
        <v>0</v>
      </c>
      <c r="BE49" s="27">
        <v>0</v>
      </c>
      <c r="BF49" s="27">
        <f>O49</f>
        <v>0</v>
      </c>
      <c r="BH49" s="27">
        <f>G49*AO49</f>
        <v>0</v>
      </c>
      <c r="BI49" s="27">
        <f>G49*AP49</f>
        <v>0</v>
      </c>
      <c r="BJ49" s="27">
        <f>G49*H49</f>
        <v>0</v>
      </c>
      <c r="BK49" s="27"/>
      <c r="BL49" s="27">
        <v>728</v>
      </c>
      <c r="BW49" s="27" t="str">
        <f>I49</f>
        <v>21</v>
      </c>
      <c r="BX49" s="3" t="s">
        <v>181</v>
      </c>
    </row>
    <row r="50" spans="1:76" ht="15" customHeight="1" x14ac:dyDescent="0.25">
      <c r="A50" s="26" t="s">
        <v>182</v>
      </c>
      <c r="B50" s="4"/>
      <c r="C50" s="4" t="s">
        <v>183</v>
      </c>
      <c r="D50" s="65" t="s">
        <v>184</v>
      </c>
      <c r="E50" s="65"/>
      <c r="F50" s="4" t="s">
        <v>175</v>
      </c>
      <c r="G50" s="27">
        <v>1</v>
      </c>
      <c r="H50" s="27">
        <v>0</v>
      </c>
      <c r="I50" s="28" t="s">
        <v>61</v>
      </c>
      <c r="J50" s="27">
        <f>G50*AO50</f>
        <v>0</v>
      </c>
      <c r="K50" s="27">
        <f>G50*AP50</f>
        <v>0</v>
      </c>
      <c r="L50" s="27">
        <f>G50*H50</f>
        <v>0</v>
      </c>
      <c r="M50" s="27">
        <f>L50*(1+BW50/100)</f>
        <v>0</v>
      </c>
      <c r="N50" s="27">
        <v>0</v>
      </c>
      <c r="O50" s="27">
        <f>G50*N50</f>
        <v>0</v>
      </c>
      <c r="P50" s="29" t="s">
        <v>62</v>
      </c>
      <c r="Z50" s="27">
        <f>IF(AQ50="5",BJ50,0)</f>
        <v>0</v>
      </c>
      <c r="AB50" s="27">
        <f>IF(AQ50="1",BH50,0)</f>
        <v>0</v>
      </c>
      <c r="AC50" s="27">
        <f>IF(AQ50="1",BI50,0)</f>
        <v>0</v>
      </c>
      <c r="AD50" s="27">
        <f>IF(AQ50="7",BH50,0)</f>
        <v>0</v>
      </c>
      <c r="AE50" s="27">
        <f>IF(AQ50="7",BI50,0)</f>
        <v>0</v>
      </c>
      <c r="AF50" s="27">
        <f>IF(AQ50="2",BH50,0)</f>
        <v>0</v>
      </c>
      <c r="AG50" s="27">
        <f>IF(AQ50="2",BI50,0)</f>
        <v>0</v>
      </c>
      <c r="AH50" s="27">
        <f>IF(AQ50="0",BJ50,0)</f>
        <v>0</v>
      </c>
      <c r="AI50" s="13"/>
      <c r="AJ50" s="27">
        <f>IF(AN50=0,L50,0)</f>
        <v>0</v>
      </c>
      <c r="AK50" s="27">
        <f>IF(AN50=12,L50,0)</f>
        <v>0</v>
      </c>
      <c r="AL50" s="27">
        <f>IF(AN50=21,L50,0)</f>
        <v>0</v>
      </c>
      <c r="AN50" s="27">
        <v>21</v>
      </c>
      <c r="AO50" s="27">
        <f>H50*0.542310378</f>
        <v>0</v>
      </c>
      <c r="AP50" s="27">
        <f>H50*(1-0.542310378)</f>
        <v>0</v>
      </c>
      <c r="AQ50" s="28" t="s">
        <v>94</v>
      </c>
      <c r="AV50" s="27">
        <f>AW50+AX50</f>
        <v>0</v>
      </c>
      <c r="AW50" s="27">
        <f>G50*AO50</f>
        <v>0</v>
      </c>
      <c r="AX50" s="27">
        <f>G50*AP50</f>
        <v>0</v>
      </c>
      <c r="AY50" s="28" t="s">
        <v>170</v>
      </c>
      <c r="AZ50" s="28" t="s">
        <v>171</v>
      </c>
      <c r="BA50" s="13" t="s">
        <v>65</v>
      </c>
      <c r="BC50" s="27">
        <f>AW50+AX50</f>
        <v>0</v>
      </c>
      <c r="BD50" s="27">
        <f>H50/(100-BE50)*100</f>
        <v>0</v>
      </c>
      <c r="BE50" s="27">
        <v>0</v>
      </c>
      <c r="BF50" s="27">
        <f>O50</f>
        <v>0</v>
      </c>
      <c r="BH50" s="27">
        <f>G50*AO50</f>
        <v>0</v>
      </c>
      <c r="BI50" s="27">
        <f>G50*AP50</f>
        <v>0</v>
      </c>
      <c r="BJ50" s="27">
        <f>G50*H50</f>
        <v>0</v>
      </c>
      <c r="BK50" s="27"/>
      <c r="BL50" s="27">
        <v>728</v>
      </c>
      <c r="BW50" s="27" t="str">
        <f>I50</f>
        <v>21</v>
      </c>
      <c r="BX50" s="3" t="s">
        <v>184</v>
      </c>
    </row>
    <row r="51" spans="1:76" ht="15" customHeight="1" x14ac:dyDescent="0.25">
      <c r="A51" s="22"/>
      <c r="B51" s="23"/>
      <c r="C51" s="23" t="s">
        <v>185</v>
      </c>
      <c r="D51" s="74" t="s">
        <v>186</v>
      </c>
      <c r="E51" s="74"/>
      <c r="F51" s="24" t="s">
        <v>4</v>
      </c>
      <c r="G51" s="24" t="s">
        <v>4</v>
      </c>
      <c r="H51" s="24" t="s">
        <v>4</v>
      </c>
      <c r="I51" s="24" t="s">
        <v>4</v>
      </c>
      <c r="J51" s="2">
        <f>SUM(J52:J52)</f>
        <v>0</v>
      </c>
      <c r="K51" s="2">
        <f>SUM(K52:K52)</f>
        <v>0</v>
      </c>
      <c r="L51" s="2">
        <f>SUM(L52:L52)</f>
        <v>0</v>
      </c>
      <c r="M51" s="2">
        <f>SUM(M52:M52)</f>
        <v>0</v>
      </c>
      <c r="N51" s="13"/>
      <c r="O51" s="2">
        <f>SUM(O52:O52)</f>
        <v>1.0000000000000001E-5</v>
      </c>
      <c r="P51" s="25"/>
      <c r="AI51" s="13"/>
      <c r="AS51" s="2">
        <f>SUM(AJ52:AJ52)</f>
        <v>0</v>
      </c>
      <c r="AT51" s="2">
        <f>SUM(AK52:AK52)</f>
        <v>0</v>
      </c>
      <c r="AU51" s="2">
        <f>SUM(AL52:AL52)</f>
        <v>0</v>
      </c>
    </row>
    <row r="52" spans="1:76" ht="15" customHeight="1" x14ac:dyDescent="0.25">
      <c r="A52" s="26" t="s">
        <v>66</v>
      </c>
      <c r="B52" s="4"/>
      <c r="C52" s="4" t="s">
        <v>187</v>
      </c>
      <c r="D52" s="65" t="s">
        <v>188</v>
      </c>
      <c r="E52" s="65"/>
      <c r="F52" s="4" t="s">
        <v>175</v>
      </c>
      <c r="G52" s="27">
        <v>1</v>
      </c>
      <c r="H52" s="27">
        <v>0</v>
      </c>
      <c r="I52" s="28" t="s">
        <v>61</v>
      </c>
      <c r="J52" s="27">
        <f>G52*AO52</f>
        <v>0</v>
      </c>
      <c r="K52" s="27">
        <f>G52*AP52</f>
        <v>0</v>
      </c>
      <c r="L52" s="27">
        <f>G52*H52</f>
        <v>0</v>
      </c>
      <c r="M52" s="27">
        <f>L52*(1+BW52/100)</f>
        <v>0</v>
      </c>
      <c r="N52" s="27">
        <v>1.0000000000000001E-5</v>
      </c>
      <c r="O52" s="27">
        <f>G52*N52</f>
        <v>1.0000000000000001E-5</v>
      </c>
      <c r="P52" s="29" t="s">
        <v>62</v>
      </c>
      <c r="Z52" s="27">
        <f>IF(AQ52="5",BJ52,0)</f>
        <v>0</v>
      </c>
      <c r="AB52" s="27">
        <f>IF(AQ52="1",BH52,0)</f>
        <v>0</v>
      </c>
      <c r="AC52" s="27">
        <f>IF(AQ52="1",BI52,0)</f>
        <v>0</v>
      </c>
      <c r="AD52" s="27">
        <f>IF(AQ52="7",BH52,0)</f>
        <v>0</v>
      </c>
      <c r="AE52" s="27">
        <f>IF(AQ52="7",BI52,0)</f>
        <v>0</v>
      </c>
      <c r="AF52" s="27">
        <f>IF(AQ52="2",BH52,0)</f>
        <v>0</v>
      </c>
      <c r="AG52" s="27">
        <f>IF(AQ52="2",BI52,0)</f>
        <v>0</v>
      </c>
      <c r="AH52" s="27">
        <f>IF(AQ52="0",BJ52,0)</f>
        <v>0</v>
      </c>
      <c r="AI52" s="13"/>
      <c r="AJ52" s="27">
        <f>IF(AN52=0,L52,0)</f>
        <v>0</v>
      </c>
      <c r="AK52" s="27">
        <f>IF(AN52=12,L52,0)</f>
        <v>0</v>
      </c>
      <c r="AL52" s="27">
        <f>IF(AN52=21,L52,0)</f>
        <v>0</v>
      </c>
      <c r="AN52" s="27">
        <v>21</v>
      </c>
      <c r="AO52" s="27">
        <f>H52*0.68288952</f>
        <v>0</v>
      </c>
      <c r="AP52" s="27">
        <f>H52*(1-0.68288952)</f>
        <v>0</v>
      </c>
      <c r="AQ52" s="28" t="s">
        <v>94</v>
      </c>
      <c r="AV52" s="27">
        <f>AW52+AX52</f>
        <v>0</v>
      </c>
      <c r="AW52" s="27">
        <f>G52*AO52</f>
        <v>0</v>
      </c>
      <c r="AX52" s="27">
        <f>G52*AP52</f>
        <v>0</v>
      </c>
      <c r="AY52" s="28" t="s">
        <v>189</v>
      </c>
      <c r="AZ52" s="28" t="s">
        <v>190</v>
      </c>
      <c r="BA52" s="13" t="s">
        <v>65</v>
      </c>
      <c r="BC52" s="27">
        <f>AW52+AX52</f>
        <v>0</v>
      </c>
      <c r="BD52" s="27">
        <f>H52/(100-BE52)*100</f>
        <v>0</v>
      </c>
      <c r="BE52" s="27">
        <v>0</v>
      </c>
      <c r="BF52" s="27">
        <f>O52</f>
        <v>1.0000000000000001E-5</v>
      </c>
      <c r="BH52" s="27">
        <f>G52*AO52</f>
        <v>0</v>
      </c>
      <c r="BI52" s="27">
        <f>G52*AP52</f>
        <v>0</v>
      </c>
      <c r="BJ52" s="27">
        <f>G52*H52</f>
        <v>0</v>
      </c>
      <c r="BK52" s="27"/>
      <c r="BL52" s="27">
        <v>767</v>
      </c>
      <c r="BW52" s="27" t="str">
        <f>I52</f>
        <v>21</v>
      </c>
      <c r="BX52" s="3" t="s">
        <v>188</v>
      </c>
    </row>
    <row r="53" spans="1:76" ht="15" customHeight="1" x14ac:dyDescent="0.25">
      <c r="A53" s="22"/>
      <c r="B53" s="23"/>
      <c r="C53" s="23" t="s">
        <v>191</v>
      </c>
      <c r="D53" s="74" t="s">
        <v>192</v>
      </c>
      <c r="E53" s="74"/>
      <c r="F53" s="24" t="s">
        <v>4</v>
      </c>
      <c r="G53" s="24" t="s">
        <v>4</v>
      </c>
      <c r="H53" s="24" t="s">
        <v>4</v>
      </c>
      <c r="I53" s="24" t="s">
        <v>4</v>
      </c>
      <c r="J53" s="2">
        <f>SUM(J54:J61)</f>
        <v>0</v>
      </c>
      <c r="K53" s="2">
        <f>SUM(K54:K61)</f>
        <v>0</v>
      </c>
      <c r="L53" s="2">
        <f>SUM(L54:L61)</f>
        <v>0</v>
      </c>
      <c r="M53" s="2">
        <f>SUM(M54:M61)</f>
        <v>0</v>
      </c>
      <c r="N53" s="13"/>
      <c r="O53" s="2">
        <f>SUM(O54:O61)</f>
        <v>0.22329000000000002</v>
      </c>
      <c r="P53" s="25"/>
      <c r="AI53" s="13"/>
      <c r="AS53" s="2">
        <f>SUM(AJ54:AJ61)</f>
        <v>0</v>
      </c>
      <c r="AT53" s="2">
        <f>SUM(AK54:AK61)</f>
        <v>0</v>
      </c>
      <c r="AU53" s="2">
        <f>SUM(AL54:AL61)</f>
        <v>0</v>
      </c>
    </row>
    <row r="54" spans="1:76" ht="15" customHeight="1" x14ac:dyDescent="0.25">
      <c r="A54" s="26" t="s">
        <v>193</v>
      </c>
      <c r="B54" s="4"/>
      <c r="C54" s="4" t="s">
        <v>194</v>
      </c>
      <c r="D54" s="65" t="s">
        <v>195</v>
      </c>
      <c r="E54" s="65"/>
      <c r="F54" s="4" t="s">
        <v>83</v>
      </c>
      <c r="G54" s="27">
        <v>59</v>
      </c>
      <c r="H54" s="27">
        <v>0</v>
      </c>
      <c r="I54" s="28" t="s">
        <v>61</v>
      </c>
      <c r="J54" s="27">
        <f t="shared" ref="J54:J61" si="26">G54*AO54</f>
        <v>0</v>
      </c>
      <c r="K54" s="27">
        <f t="shared" ref="K54:K61" si="27">G54*AP54</f>
        <v>0</v>
      </c>
      <c r="L54" s="27">
        <f t="shared" ref="L54:L61" si="28">G54*H54</f>
        <v>0</v>
      </c>
      <c r="M54" s="27">
        <f t="shared" ref="M54:M61" si="29">L54*(1+BW54/100)</f>
        <v>0</v>
      </c>
      <c r="N54" s="27">
        <v>3.5000000000000001E-3</v>
      </c>
      <c r="O54" s="27">
        <f t="shared" ref="O54:O61" si="30">G54*N54</f>
        <v>0.20650000000000002</v>
      </c>
      <c r="P54" s="29" t="s">
        <v>62</v>
      </c>
      <c r="Z54" s="27">
        <f t="shared" ref="Z54:Z61" si="31">IF(AQ54="5",BJ54,0)</f>
        <v>0</v>
      </c>
      <c r="AB54" s="27">
        <f t="shared" ref="AB54:AB61" si="32">IF(AQ54="1",BH54,0)</f>
        <v>0</v>
      </c>
      <c r="AC54" s="27">
        <f t="shared" ref="AC54:AC61" si="33">IF(AQ54="1",BI54,0)</f>
        <v>0</v>
      </c>
      <c r="AD54" s="27">
        <f t="shared" ref="AD54:AD61" si="34">IF(AQ54="7",BH54,0)</f>
        <v>0</v>
      </c>
      <c r="AE54" s="27">
        <f t="shared" ref="AE54:AE61" si="35">IF(AQ54="7",BI54,0)</f>
        <v>0</v>
      </c>
      <c r="AF54" s="27">
        <f t="shared" ref="AF54:AF61" si="36">IF(AQ54="2",BH54,0)</f>
        <v>0</v>
      </c>
      <c r="AG54" s="27">
        <f t="shared" ref="AG54:AG61" si="37">IF(AQ54="2",BI54,0)</f>
        <v>0</v>
      </c>
      <c r="AH54" s="27">
        <f t="shared" ref="AH54:AH61" si="38">IF(AQ54="0",BJ54,0)</f>
        <v>0</v>
      </c>
      <c r="AI54" s="13"/>
      <c r="AJ54" s="27">
        <f t="shared" ref="AJ54:AJ61" si="39">IF(AN54=0,L54,0)</f>
        <v>0</v>
      </c>
      <c r="AK54" s="27">
        <f t="shared" ref="AK54:AK61" si="40">IF(AN54=12,L54,0)</f>
        <v>0</v>
      </c>
      <c r="AL54" s="27">
        <f t="shared" ref="AL54:AL61" si="41">IF(AN54=21,L54,0)</f>
        <v>0</v>
      </c>
      <c r="AN54" s="27">
        <v>21</v>
      </c>
      <c r="AO54" s="27">
        <f>H54*0</f>
        <v>0</v>
      </c>
      <c r="AP54" s="27">
        <f>H54*(1-0)</f>
        <v>0</v>
      </c>
      <c r="AQ54" s="28" t="s">
        <v>94</v>
      </c>
      <c r="AV54" s="27">
        <f t="shared" ref="AV54:AV61" si="42">AW54+AX54</f>
        <v>0</v>
      </c>
      <c r="AW54" s="27">
        <f t="shared" ref="AW54:AW61" si="43">G54*AO54</f>
        <v>0</v>
      </c>
      <c r="AX54" s="27">
        <f t="shared" ref="AX54:AX61" si="44">G54*AP54</f>
        <v>0</v>
      </c>
      <c r="AY54" s="28" t="s">
        <v>196</v>
      </c>
      <c r="AZ54" s="28" t="s">
        <v>197</v>
      </c>
      <c r="BA54" s="13" t="s">
        <v>65</v>
      </c>
      <c r="BC54" s="27">
        <f t="shared" ref="BC54:BC61" si="45">AW54+AX54</f>
        <v>0</v>
      </c>
      <c r="BD54" s="27">
        <f t="shared" ref="BD54:BD61" si="46">H54/(100-BE54)*100</f>
        <v>0</v>
      </c>
      <c r="BE54" s="27">
        <v>0</v>
      </c>
      <c r="BF54" s="27">
        <f t="shared" ref="BF54:BF61" si="47">O54</f>
        <v>0.20650000000000002</v>
      </c>
      <c r="BH54" s="27">
        <f t="shared" ref="BH54:BH61" si="48">G54*AO54</f>
        <v>0</v>
      </c>
      <c r="BI54" s="27">
        <f t="shared" ref="BI54:BI61" si="49">G54*AP54</f>
        <v>0</v>
      </c>
      <c r="BJ54" s="27">
        <f t="shared" ref="BJ54:BJ61" si="50">G54*H54</f>
        <v>0</v>
      </c>
      <c r="BK54" s="27"/>
      <c r="BL54" s="27">
        <v>776</v>
      </c>
      <c r="BW54" s="27" t="str">
        <f t="shared" ref="BW54:BW61" si="51">I54</f>
        <v>21</v>
      </c>
      <c r="BX54" s="3" t="s">
        <v>195</v>
      </c>
    </row>
    <row r="55" spans="1:76" ht="15" customHeight="1" x14ac:dyDescent="0.25">
      <c r="A55" s="26" t="s">
        <v>198</v>
      </c>
      <c r="B55" s="4"/>
      <c r="C55" s="4" t="s">
        <v>199</v>
      </c>
      <c r="D55" s="65" t="s">
        <v>200</v>
      </c>
      <c r="E55" s="65"/>
      <c r="F55" s="4" t="s">
        <v>83</v>
      </c>
      <c r="G55" s="27">
        <v>59</v>
      </c>
      <c r="H55" s="27">
        <v>0</v>
      </c>
      <c r="I55" s="28" t="s">
        <v>61</v>
      </c>
      <c r="J55" s="27">
        <f t="shared" si="26"/>
        <v>0</v>
      </c>
      <c r="K55" s="27">
        <f t="shared" si="27"/>
        <v>0</v>
      </c>
      <c r="L55" s="27">
        <f t="shared" si="28"/>
        <v>0</v>
      </c>
      <c r="M55" s="27">
        <f t="shared" si="29"/>
        <v>0</v>
      </c>
      <c r="N55" s="27">
        <v>2.6000000000000003E-4</v>
      </c>
      <c r="O55" s="27">
        <f t="shared" si="30"/>
        <v>1.5340000000000001E-2</v>
      </c>
      <c r="P55" s="29" t="s">
        <v>62</v>
      </c>
      <c r="Z55" s="27">
        <f t="shared" si="31"/>
        <v>0</v>
      </c>
      <c r="AB55" s="27">
        <f t="shared" si="32"/>
        <v>0</v>
      </c>
      <c r="AC55" s="27">
        <f t="shared" si="33"/>
        <v>0</v>
      </c>
      <c r="AD55" s="27">
        <f t="shared" si="34"/>
        <v>0</v>
      </c>
      <c r="AE55" s="27">
        <f t="shared" si="35"/>
        <v>0</v>
      </c>
      <c r="AF55" s="27">
        <f t="shared" si="36"/>
        <v>0</v>
      </c>
      <c r="AG55" s="27">
        <f t="shared" si="37"/>
        <v>0</v>
      </c>
      <c r="AH55" s="27">
        <f t="shared" si="38"/>
        <v>0</v>
      </c>
      <c r="AI55" s="13"/>
      <c r="AJ55" s="27">
        <f t="shared" si="39"/>
        <v>0</v>
      </c>
      <c r="AK55" s="27">
        <f t="shared" si="40"/>
        <v>0</v>
      </c>
      <c r="AL55" s="27">
        <f t="shared" si="41"/>
        <v>0</v>
      </c>
      <c r="AN55" s="27">
        <v>21</v>
      </c>
      <c r="AO55" s="27">
        <f>H55*0.762427569</f>
        <v>0</v>
      </c>
      <c r="AP55" s="27">
        <f>H55*(1-0.762427569)</f>
        <v>0</v>
      </c>
      <c r="AQ55" s="28" t="s">
        <v>94</v>
      </c>
      <c r="AV55" s="27">
        <f t="shared" si="42"/>
        <v>0</v>
      </c>
      <c r="AW55" s="27">
        <f t="shared" si="43"/>
        <v>0</v>
      </c>
      <c r="AX55" s="27">
        <f t="shared" si="44"/>
        <v>0</v>
      </c>
      <c r="AY55" s="28" t="s">
        <v>196</v>
      </c>
      <c r="AZ55" s="28" t="s">
        <v>197</v>
      </c>
      <c r="BA55" s="13" t="s">
        <v>65</v>
      </c>
      <c r="BC55" s="27">
        <f t="shared" si="45"/>
        <v>0</v>
      </c>
      <c r="BD55" s="27">
        <f t="shared" si="46"/>
        <v>0</v>
      </c>
      <c r="BE55" s="27">
        <v>0</v>
      </c>
      <c r="BF55" s="27">
        <f t="shared" si="47"/>
        <v>1.5340000000000001E-2</v>
      </c>
      <c r="BH55" s="27">
        <f t="shared" si="48"/>
        <v>0</v>
      </c>
      <c r="BI55" s="27">
        <f t="shared" si="49"/>
        <v>0</v>
      </c>
      <c r="BJ55" s="27">
        <f t="shared" si="50"/>
        <v>0</v>
      </c>
      <c r="BK55" s="27"/>
      <c r="BL55" s="27">
        <v>776</v>
      </c>
      <c r="BW55" s="27" t="str">
        <f t="shared" si="51"/>
        <v>21</v>
      </c>
      <c r="BX55" s="3" t="s">
        <v>200</v>
      </c>
    </row>
    <row r="56" spans="1:76" ht="15" customHeight="1" x14ac:dyDescent="0.25">
      <c r="A56" s="26" t="s">
        <v>74</v>
      </c>
      <c r="B56" s="4"/>
      <c r="C56" s="4" t="s">
        <v>201</v>
      </c>
      <c r="D56" s="65" t="s">
        <v>202</v>
      </c>
      <c r="E56" s="65"/>
      <c r="F56" s="4" t="s">
        <v>71</v>
      </c>
      <c r="G56" s="27">
        <v>20</v>
      </c>
      <c r="H56" s="27">
        <v>0</v>
      </c>
      <c r="I56" s="28" t="s">
        <v>61</v>
      </c>
      <c r="J56" s="27">
        <f t="shared" si="26"/>
        <v>0</v>
      </c>
      <c r="K56" s="27">
        <f t="shared" si="27"/>
        <v>0</v>
      </c>
      <c r="L56" s="27">
        <f t="shared" si="28"/>
        <v>0</v>
      </c>
      <c r="M56" s="27">
        <f t="shared" si="29"/>
        <v>0</v>
      </c>
      <c r="N56" s="27">
        <v>2.0000000000000002E-5</v>
      </c>
      <c r="O56" s="27">
        <f t="shared" si="30"/>
        <v>4.0000000000000002E-4</v>
      </c>
      <c r="P56" s="29" t="s">
        <v>62</v>
      </c>
      <c r="Z56" s="27">
        <f t="shared" si="31"/>
        <v>0</v>
      </c>
      <c r="AB56" s="27">
        <f t="shared" si="32"/>
        <v>0</v>
      </c>
      <c r="AC56" s="27">
        <f t="shared" si="33"/>
        <v>0</v>
      </c>
      <c r="AD56" s="27">
        <f t="shared" si="34"/>
        <v>0</v>
      </c>
      <c r="AE56" s="27">
        <f t="shared" si="35"/>
        <v>0</v>
      </c>
      <c r="AF56" s="27">
        <f t="shared" si="36"/>
        <v>0</v>
      </c>
      <c r="AG56" s="27">
        <f t="shared" si="37"/>
        <v>0</v>
      </c>
      <c r="AH56" s="27">
        <f t="shared" si="38"/>
        <v>0</v>
      </c>
      <c r="AI56" s="13"/>
      <c r="AJ56" s="27">
        <f t="shared" si="39"/>
        <v>0</v>
      </c>
      <c r="AK56" s="27">
        <f t="shared" si="40"/>
        <v>0</v>
      </c>
      <c r="AL56" s="27">
        <f t="shared" si="41"/>
        <v>0</v>
      </c>
      <c r="AN56" s="27">
        <v>21</v>
      </c>
      <c r="AO56" s="27">
        <f>H56*0.395652174</f>
        <v>0</v>
      </c>
      <c r="AP56" s="27">
        <f>H56*(1-0.395652174)</f>
        <v>0</v>
      </c>
      <c r="AQ56" s="28" t="s">
        <v>94</v>
      </c>
      <c r="AV56" s="27">
        <f t="shared" si="42"/>
        <v>0</v>
      </c>
      <c r="AW56" s="27">
        <f t="shared" si="43"/>
        <v>0</v>
      </c>
      <c r="AX56" s="27">
        <f t="shared" si="44"/>
        <v>0</v>
      </c>
      <c r="AY56" s="28" t="s">
        <v>196</v>
      </c>
      <c r="AZ56" s="28" t="s">
        <v>197</v>
      </c>
      <c r="BA56" s="13" t="s">
        <v>65</v>
      </c>
      <c r="BC56" s="27">
        <f t="shared" si="45"/>
        <v>0</v>
      </c>
      <c r="BD56" s="27">
        <f t="shared" si="46"/>
        <v>0</v>
      </c>
      <c r="BE56" s="27">
        <v>0</v>
      </c>
      <c r="BF56" s="27">
        <f t="shared" si="47"/>
        <v>4.0000000000000002E-4</v>
      </c>
      <c r="BH56" s="27">
        <f t="shared" si="48"/>
        <v>0</v>
      </c>
      <c r="BI56" s="27">
        <f t="shared" si="49"/>
        <v>0</v>
      </c>
      <c r="BJ56" s="27">
        <f t="shared" si="50"/>
        <v>0</v>
      </c>
      <c r="BK56" s="27"/>
      <c r="BL56" s="27">
        <v>776</v>
      </c>
      <c r="BW56" s="27" t="str">
        <f t="shared" si="51"/>
        <v>21</v>
      </c>
      <c r="BX56" s="3" t="s">
        <v>202</v>
      </c>
    </row>
    <row r="57" spans="1:76" ht="15" customHeight="1" x14ac:dyDescent="0.25">
      <c r="A57" s="26" t="s">
        <v>203</v>
      </c>
      <c r="B57" s="4"/>
      <c r="C57" s="4" t="s">
        <v>204</v>
      </c>
      <c r="D57" s="65" t="s">
        <v>205</v>
      </c>
      <c r="E57" s="65"/>
      <c r="F57" s="4" t="s">
        <v>71</v>
      </c>
      <c r="G57" s="27">
        <v>1.4</v>
      </c>
      <c r="H57" s="27">
        <v>0</v>
      </c>
      <c r="I57" s="28" t="s">
        <v>61</v>
      </c>
      <c r="J57" s="27">
        <f t="shared" si="26"/>
        <v>0</v>
      </c>
      <c r="K57" s="27">
        <f t="shared" si="27"/>
        <v>0</v>
      </c>
      <c r="L57" s="27">
        <f t="shared" si="28"/>
        <v>0</v>
      </c>
      <c r="M57" s="27">
        <f t="shared" si="29"/>
        <v>0</v>
      </c>
      <c r="N57" s="27">
        <v>1.0000000000000001E-5</v>
      </c>
      <c r="O57" s="27">
        <f t="shared" si="30"/>
        <v>1.4E-5</v>
      </c>
      <c r="P57" s="29" t="s">
        <v>62</v>
      </c>
      <c r="Z57" s="27">
        <f t="shared" si="31"/>
        <v>0</v>
      </c>
      <c r="AB57" s="27">
        <f t="shared" si="32"/>
        <v>0</v>
      </c>
      <c r="AC57" s="27">
        <f t="shared" si="33"/>
        <v>0</v>
      </c>
      <c r="AD57" s="27">
        <f t="shared" si="34"/>
        <v>0</v>
      </c>
      <c r="AE57" s="27">
        <f t="shared" si="35"/>
        <v>0</v>
      </c>
      <c r="AF57" s="27">
        <f t="shared" si="36"/>
        <v>0</v>
      </c>
      <c r="AG57" s="27">
        <f t="shared" si="37"/>
        <v>0</v>
      </c>
      <c r="AH57" s="27">
        <f t="shared" si="38"/>
        <v>0</v>
      </c>
      <c r="AI57" s="13"/>
      <c r="AJ57" s="27">
        <f t="shared" si="39"/>
        <v>0</v>
      </c>
      <c r="AK57" s="27">
        <f t="shared" si="40"/>
        <v>0</v>
      </c>
      <c r="AL57" s="27">
        <f t="shared" si="41"/>
        <v>0</v>
      </c>
      <c r="AN57" s="27">
        <v>21</v>
      </c>
      <c r="AO57" s="27">
        <f>H57*0.02983956</f>
        <v>0</v>
      </c>
      <c r="AP57" s="27">
        <f>H57*(1-0.02983956)</f>
        <v>0</v>
      </c>
      <c r="AQ57" s="28" t="s">
        <v>94</v>
      </c>
      <c r="AV57" s="27">
        <f t="shared" si="42"/>
        <v>0</v>
      </c>
      <c r="AW57" s="27">
        <f t="shared" si="43"/>
        <v>0</v>
      </c>
      <c r="AX57" s="27">
        <f t="shared" si="44"/>
        <v>0</v>
      </c>
      <c r="AY57" s="28" t="s">
        <v>196</v>
      </c>
      <c r="AZ57" s="28" t="s">
        <v>197</v>
      </c>
      <c r="BA57" s="13" t="s">
        <v>65</v>
      </c>
      <c r="BC57" s="27">
        <f t="shared" si="45"/>
        <v>0</v>
      </c>
      <c r="BD57" s="27">
        <f t="shared" si="46"/>
        <v>0</v>
      </c>
      <c r="BE57" s="27">
        <v>0</v>
      </c>
      <c r="BF57" s="27">
        <f t="shared" si="47"/>
        <v>1.4E-5</v>
      </c>
      <c r="BH57" s="27">
        <f t="shared" si="48"/>
        <v>0</v>
      </c>
      <c r="BI57" s="27">
        <f t="shared" si="49"/>
        <v>0</v>
      </c>
      <c r="BJ57" s="27">
        <f t="shared" si="50"/>
        <v>0</v>
      </c>
      <c r="BK57" s="27"/>
      <c r="BL57" s="27">
        <v>776</v>
      </c>
      <c r="BW57" s="27" t="str">
        <f t="shared" si="51"/>
        <v>21</v>
      </c>
      <c r="BX57" s="3" t="s">
        <v>205</v>
      </c>
    </row>
    <row r="58" spans="1:76" ht="15" customHeight="1" x14ac:dyDescent="0.25">
      <c r="A58" s="26" t="s">
        <v>206</v>
      </c>
      <c r="B58" s="4"/>
      <c r="C58" s="4" t="s">
        <v>207</v>
      </c>
      <c r="D58" s="65" t="s">
        <v>208</v>
      </c>
      <c r="E58" s="65"/>
      <c r="F58" s="4" t="s">
        <v>71</v>
      </c>
      <c r="G58" s="27">
        <v>1.4</v>
      </c>
      <c r="H58" s="27">
        <v>0</v>
      </c>
      <c r="I58" s="28" t="s">
        <v>61</v>
      </c>
      <c r="J58" s="27">
        <f t="shared" si="26"/>
        <v>0</v>
      </c>
      <c r="K58" s="27">
        <f t="shared" si="27"/>
        <v>0</v>
      </c>
      <c r="L58" s="27">
        <f t="shared" si="28"/>
        <v>0</v>
      </c>
      <c r="M58" s="27">
        <f t="shared" si="29"/>
        <v>0</v>
      </c>
      <c r="N58" s="27">
        <v>7.400000000000001E-4</v>
      </c>
      <c r="O58" s="27">
        <f t="shared" si="30"/>
        <v>1.036E-3</v>
      </c>
      <c r="P58" s="29" t="s">
        <v>62</v>
      </c>
      <c r="Z58" s="27">
        <f t="shared" si="31"/>
        <v>0</v>
      </c>
      <c r="AB58" s="27">
        <f t="shared" si="32"/>
        <v>0</v>
      </c>
      <c r="AC58" s="27">
        <f t="shared" si="33"/>
        <v>0</v>
      </c>
      <c r="AD58" s="27">
        <f t="shared" si="34"/>
        <v>0</v>
      </c>
      <c r="AE58" s="27">
        <f t="shared" si="35"/>
        <v>0</v>
      </c>
      <c r="AF58" s="27">
        <f t="shared" si="36"/>
        <v>0</v>
      </c>
      <c r="AG58" s="27">
        <f t="shared" si="37"/>
        <v>0</v>
      </c>
      <c r="AH58" s="27">
        <f t="shared" si="38"/>
        <v>0</v>
      </c>
      <c r="AI58" s="13"/>
      <c r="AJ58" s="27">
        <f t="shared" si="39"/>
        <v>0</v>
      </c>
      <c r="AK58" s="27">
        <f t="shared" si="40"/>
        <v>0</v>
      </c>
      <c r="AL58" s="27">
        <f t="shared" si="41"/>
        <v>0</v>
      </c>
      <c r="AN58" s="27">
        <v>21</v>
      </c>
      <c r="AO58" s="27">
        <f>H58*0.864744186</f>
        <v>0</v>
      </c>
      <c r="AP58" s="27">
        <f>H58*(1-0.864744186)</f>
        <v>0</v>
      </c>
      <c r="AQ58" s="28" t="s">
        <v>94</v>
      </c>
      <c r="AV58" s="27">
        <f t="shared" si="42"/>
        <v>0</v>
      </c>
      <c r="AW58" s="27">
        <f t="shared" si="43"/>
        <v>0</v>
      </c>
      <c r="AX58" s="27">
        <f t="shared" si="44"/>
        <v>0</v>
      </c>
      <c r="AY58" s="28" t="s">
        <v>196</v>
      </c>
      <c r="AZ58" s="28" t="s">
        <v>197</v>
      </c>
      <c r="BA58" s="13" t="s">
        <v>65</v>
      </c>
      <c r="BC58" s="27">
        <f t="shared" si="45"/>
        <v>0</v>
      </c>
      <c r="BD58" s="27">
        <f t="shared" si="46"/>
        <v>0</v>
      </c>
      <c r="BE58" s="27">
        <v>0</v>
      </c>
      <c r="BF58" s="27">
        <f t="shared" si="47"/>
        <v>1.036E-3</v>
      </c>
      <c r="BH58" s="27">
        <f t="shared" si="48"/>
        <v>0</v>
      </c>
      <c r="BI58" s="27">
        <f t="shared" si="49"/>
        <v>0</v>
      </c>
      <c r="BJ58" s="27">
        <f t="shared" si="50"/>
        <v>0</v>
      </c>
      <c r="BK58" s="27"/>
      <c r="BL58" s="27">
        <v>776</v>
      </c>
      <c r="BW58" s="27" t="str">
        <f t="shared" si="51"/>
        <v>21</v>
      </c>
      <c r="BX58" s="3" t="s">
        <v>208</v>
      </c>
    </row>
    <row r="59" spans="1:76" ht="15" customHeight="1" x14ac:dyDescent="0.25">
      <c r="A59" s="26" t="s">
        <v>209</v>
      </c>
      <c r="B59" s="4"/>
      <c r="C59" s="4" t="s">
        <v>210</v>
      </c>
      <c r="D59" s="65" t="s">
        <v>211</v>
      </c>
      <c r="E59" s="65"/>
      <c r="F59" s="4" t="s">
        <v>71</v>
      </c>
      <c r="G59" s="27">
        <v>32</v>
      </c>
      <c r="H59" s="27">
        <v>0</v>
      </c>
      <c r="I59" s="28" t="s">
        <v>61</v>
      </c>
      <c r="J59" s="27">
        <f t="shared" si="26"/>
        <v>0</v>
      </c>
      <c r="K59" s="27">
        <f t="shared" si="27"/>
        <v>0</v>
      </c>
      <c r="L59" s="27">
        <f t="shared" si="28"/>
        <v>0</v>
      </c>
      <c r="M59" s="27">
        <f t="shared" si="29"/>
        <v>0</v>
      </c>
      <c r="N59" s="27">
        <v>0</v>
      </c>
      <c r="O59" s="27">
        <f t="shared" si="30"/>
        <v>0</v>
      </c>
      <c r="P59" s="29" t="s">
        <v>62</v>
      </c>
      <c r="Z59" s="27">
        <f t="shared" si="31"/>
        <v>0</v>
      </c>
      <c r="AB59" s="27">
        <f t="shared" si="32"/>
        <v>0</v>
      </c>
      <c r="AC59" s="27">
        <f t="shared" si="33"/>
        <v>0</v>
      </c>
      <c r="AD59" s="27">
        <f t="shared" si="34"/>
        <v>0</v>
      </c>
      <c r="AE59" s="27">
        <f t="shared" si="35"/>
        <v>0</v>
      </c>
      <c r="AF59" s="27">
        <f t="shared" si="36"/>
        <v>0</v>
      </c>
      <c r="AG59" s="27">
        <f t="shared" si="37"/>
        <v>0</v>
      </c>
      <c r="AH59" s="27">
        <f t="shared" si="38"/>
        <v>0</v>
      </c>
      <c r="AI59" s="13"/>
      <c r="AJ59" s="27">
        <f t="shared" si="39"/>
        <v>0</v>
      </c>
      <c r="AK59" s="27">
        <f t="shared" si="40"/>
        <v>0</v>
      </c>
      <c r="AL59" s="27">
        <f t="shared" si="41"/>
        <v>0</v>
      </c>
      <c r="AN59" s="27">
        <v>21</v>
      </c>
      <c r="AO59" s="27">
        <f>H59*0.482315113</f>
        <v>0</v>
      </c>
      <c r="AP59" s="27">
        <f>H59*(1-0.482315113)</f>
        <v>0</v>
      </c>
      <c r="AQ59" s="28" t="s">
        <v>94</v>
      </c>
      <c r="AV59" s="27">
        <f t="shared" si="42"/>
        <v>0</v>
      </c>
      <c r="AW59" s="27">
        <f t="shared" si="43"/>
        <v>0</v>
      </c>
      <c r="AX59" s="27">
        <f t="shared" si="44"/>
        <v>0</v>
      </c>
      <c r="AY59" s="28" t="s">
        <v>196</v>
      </c>
      <c r="AZ59" s="28" t="s">
        <v>197</v>
      </c>
      <c r="BA59" s="13" t="s">
        <v>65</v>
      </c>
      <c r="BC59" s="27">
        <f t="shared" si="45"/>
        <v>0</v>
      </c>
      <c r="BD59" s="27">
        <f t="shared" si="46"/>
        <v>0</v>
      </c>
      <c r="BE59" s="27">
        <v>0</v>
      </c>
      <c r="BF59" s="27">
        <f t="shared" si="47"/>
        <v>0</v>
      </c>
      <c r="BH59" s="27">
        <f t="shared" si="48"/>
        <v>0</v>
      </c>
      <c r="BI59" s="27">
        <f t="shared" si="49"/>
        <v>0</v>
      </c>
      <c r="BJ59" s="27">
        <f t="shared" si="50"/>
        <v>0</v>
      </c>
      <c r="BK59" s="27"/>
      <c r="BL59" s="27">
        <v>776</v>
      </c>
      <c r="BW59" s="27" t="str">
        <f t="shared" si="51"/>
        <v>21</v>
      </c>
      <c r="BX59" s="3" t="s">
        <v>211</v>
      </c>
    </row>
    <row r="60" spans="1:76" ht="12.75" customHeight="1" x14ac:dyDescent="0.25">
      <c r="A60" s="26" t="s">
        <v>212</v>
      </c>
      <c r="B60" s="4"/>
      <c r="C60" s="4" t="s">
        <v>213</v>
      </c>
      <c r="D60" s="65" t="s">
        <v>214</v>
      </c>
      <c r="E60" s="65"/>
      <c r="F60" s="4" t="s">
        <v>83</v>
      </c>
      <c r="G60" s="27">
        <v>59</v>
      </c>
      <c r="H60" s="27">
        <v>0</v>
      </c>
      <c r="I60" s="28" t="s">
        <v>61</v>
      </c>
      <c r="J60" s="27">
        <f t="shared" si="26"/>
        <v>0</v>
      </c>
      <c r="K60" s="27">
        <f t="shared" si="27"/>
        <v>0</v>
      </c>
      <c r="L60" s="27">
        <f t="shared" si="28"/>
        <v>0</v>
      </c>
      <c r="M60" s="27">
        <f t="shared" si="29"/>
        <v>0</v>
      </c>
      <c r="N60" s="27">
        <v>0</v>
      </c>
      <c r="O60" s="27">
        <f t="shared" si="30"/>
        <v>0</v>
      </c>
      <c r="P60" s="29" t="s">
        <v>62</v>
      </c>
      <c r="Z60" s="27">
        <f t="shared" si="31"/>
        <v>0</v>
      </c>
      <c r="AB60" s="27">
        <f t="shared" si="32"/>
        <v>0</v>
      </c>
      <c r="AC60" s="27">
        <f t="shared" si="33"/>
        <v>0</v>
      </c>
      <c r="AD60" s="27">
        <f t="shared" si="34"/>
        <v>0</v>
      </c>
      <c r="AE60" s="27">
        <f t="shared" si="35"/>
        <v>0</v>
      </c>
      <c r="AF60" s="27">
        <f t="shared" si="36"/>
        <v>0</v>
      </c>
      <c r="AG60" s="27">
        <f t="shared" si="37"/>
        <v>0</v>
      </c>
      <c r="AH60" s="27">
        <f t="shared" si="38"/>
        <v>0</v>
      </c>
      <c r="AI60" s="13"/>
      <c r="AJ60" s="27">
        <f t="shared" si="39"/>
        <v>0</v>
      </c>
      <c r="AK60" s="27">
        <f t="shared" si="40"/>
        <v>0</v>
      </c>
      <c r="AL60" s="27">
        <f t="shared" si="41"/>
        <v>0</v>
      </c>
      <c r="AN60" s="27">
        <v>21</v>
      </c>
      <c r="AO60" s="27">
        <f>H60*0</f>
        <v>0</v>
      </c>
      <c r="AP60" s="27">
        <f>H60*(1-0)</f>
        <v>0</v>
      </c>
      <c r="AQ60" s="28" t="s">
        <v>94</v>
      </c>
      <c r="AV60" s="27">
        <f t="shared" si="42"/>
        <v>0</v>
      </c>
      <c r="AW60" s="27">
        <f t="shared" si="43"/>
        <v>0</v>
      </c>
      <c r="AX60" s="27">
        <f t="shared" si="44"/>
        <v>0</v>
      </c>
      <c r="AY60" s="28" t="s">
        <v>196</v>
      </c>
      <c r="AZ60" s="28" t="s">
        <v>197</v>
      </c>
      <c r="BA60" s="13" t="s">
        <v>65</v>
      </c>
      <c r="BC60" s="27">
        <f t="shared" si="45"/>
        <v>0</v>
      </c>
      <c r="BD60" s="27">
        <f t="shared" si="46"/>
        <v>0</v>
      </c>
      <c r="BE60" s="27">
        <v>0</v>
      </c>
      <c r="BF60" s="27">
        <f t="shared" si="47"/>
        <v>0</v>
      </c>
      <c r="BH60" s="27">
        <f t="shared" si="48"/>
        <v>0</v>
      </c>
      <c r="BI60" s="27">
        <f t="shared" si="49"/>
        <v>0</v>
      </c>
      <c r="BJ60" s="27">
        <f t="shared" si="50"/>
        <v>0</v>
      </c>
      <c r="BK60" s="27"/>
      <c r="BL60" s="27">
        <v>776</v>
      </c>
      <c r="BW60" s="27" t="str">
        <f t="shared" si="51"/>
        <v>21</v>
      </c>
      <c r="BX60" s="3" t="s">
        <v>214</v>
      </c>
    </row>
    <row r="61" spans="1:76" ht="12.75" customHeight="1" x14ac:dyDescent="0.25">
      <c r="A61" s="26" t="s">
        <v>215</v>
      </c>
      <c r="B61" s="4"/>
      <c r="C61" s="4" t="s">
        <v>216</v>
      </c>
      <c r="D61" s="65" t="s">
        <v>217</v>
      </c>
      <c r="E61" s="65"/>
      <c r="F61" s="4" t="s">
        <v>83</v>
      </c>
      <c r="G61" s="27">
        <v>59</v>
      </c>
      <c r="H61" s="27">
        <v>0</v>
      </c>
      <c r="I61" s="28" t="s">
        <v>61</v>
      </c>
      <c r="J61" s="27">
        <f t="shared" si="26"/>
        <v>0</v>
      </c>
      <c r="K61" s="27">
        <f t="shared" si="27"/>
        <v>0</v>
      </c>
      <c r="L61" s="27">
        <f t="shared" si="28"/>
        <v>0</v>
      </c>
      <c r="M61" s="27">
        <f t="shared" si="29"/>
        <v>0</v>
      </c>
      <c r="N61" s="27">
        <v>0</v>
      </c>
      <c r="O61" s="27">
        <f t="shared" si="30"/>
        <v>0</v>
      </c>
      <c r="P61" s="29" t="s">
        <v>62</v>
      </c>
      <c r="Z61" s="27">
        <f t="shared" si="31"/>
        <v>0</v>
      </c>
      <c r="AB61" s="27">
        <f t="shared" si="32"/>
        <v>0</v>
      </c>
      <c r="AC61" s="27">
        <f t="shared" si="33"/>
        <v>0</v>
      </c>
      <c r="AD61" s="27">
        <f t="shared" si="34"/>
        <v>0</v>
      </c>
      <c r="AE61" s="27">
        <f t="shared" si="35"/>
        <v>0</v>
      </c>
      <c r="AF61" s="27">
        <f t="shared" si="36"/>
        <v>0</v>
      </c>
      <c r="AG61" s="27">
        <f t="shared" si="37"/>
        <v>0</v>
      </c>
      <c r="AH61" s="27">
        <f t="shared" si="38"/>
        <v>0</v>
      </c>
      <c r="AI61" s="13"/>
      <c r="AJ61" s="27">
        <f t="shared" si="39"/>
        <v>0</v>
      </c>
      <c r="AK61" s="27">
        <f t="shared" si="40"/>
        <v>0</v>
      </c>
      <c r="AL61" s="27">
        <f t="shared" si="41"/>
        <v>0</v>
      </c>
      <c r="AN61" s="27">
        <v>21</v>
      </c>
      <c r="AO61" s="27">
        <f>H61*0</f>
        <v>0</v>
      </c>
      <c r="AP61" s="27">
        <f>H61*(1-0)</f>
        <v>0</v>
      </c>
      <c r="AQ61" s="28" t="s">
        <v>94</v>
      </c>
      <c r="AV61" s="27">
        <f t="shared" si="42"/>
        <v>0</v>
      </c>
      <c r="AW61" s="27">
        <f t="shared" si="43"/>
        <v>0</v>
      </c>
      <c r="AX61" s="27">
        <f t="shared" si="44"/>
        <v>0</v>
      </c>
      <c r="AY61" s="28" t="s">
        <v>196</v>
      </c>
      <c r="AZ61" s="28" t="s">
        <v>197</v>
      </c>
      <c r="BA61" s="13" t="s">
        <v>65</v>
      </c>
      <c r="BC61" s="27">
        <f t="shared" si="45"/>
        <v>0</v>
      </c>
      <c r="BD61" s="27">
        <f t="shared" si="46"/>
        <v>0</v>
      </c>
      <c r="BE61" s="27">
        <v>0</v>
      </c>
      <c r="BF61" s="27">
        <f t="shared" si="47"/>
        <v>0</v>
      </c>
      <c r="BH61" s="27">
        <f t="shared" si="48"/>
        <v>0</v>
      </c>
      <c r="BI61" s="27">
        <f t="shared" si="49"/>
        <v>0</v>
      </c>
      <c r="BJ61" s="27">
        <f t="shared" si="50"/>
        <v>0</v>
      </c>
      <c r="BK61" s="27"/>
      <c r="BL61" s="27">
        <v>776</v>
      </c>
      <c r="BW61" s="27" t="str">
        <f t="shared" si="51"/>
        <v>21</v>
      </c>
      <c r="BX61" s="3" t="s">
        <v>217</v>
      </c>
    </row>
    <row r="62" spans="1:76" ht="15" customHeight="1" x14ac:dyDescent="0.25">
      <c r="A62" s="22"/>
      <c r="B62" s="23"/>
      <c r="C62" s="23" t="s">
        <v>218</v>
      </c>
      <c r="D62" s="74" t="s">
        <v>219</v>
      </c>
      <c r="E62" s="74"/>
      <c r="F62" s="24" t="s">
        <v>4</v>
      </c>
      <c r="G62" s="24" t="s">
        <v>4</v>
      </c>
      <c r="H62" s="24" t="s">
        <v>4</v>
      </c>
      <c r="I62" s="24" t="s">
        <v>4</v>
      </c>
      <c r="J62" s="2">
        <f>SUM(J63:J63)</f>
        <v>0</v>
      </c>
      <c r="K62" s="2">
        <f>SUM(K63:K63)</f>
        <v>0</v>
      </c>
      <c r="L62" s="2">
        <f>SUM(L63:L63)</f>
        <v>0</v>
      </c>
      <c r="M62" s="2">
        <f>SUM(M63:M63)</f>
        <v>0</v>
      </c>
      <c r="N62" s="13"/>
      <c r="O62" s="2">
        <f>SUM(O63:O63)</f>
        <v>2.8000000000000003E-4</v>
      </c>
      <c r="P62" s="25"/>
      <c r="AI62" s="13"/>
      <c r="AS62" s="2">
        <f>SUM(AJ63:AJ63)</f>
        <v>0</v>
      </c>
      <c r="AT62" s="2">
        <f>SUM(AK63:AK63)</f>
        <v>0</v>
      </c>
      <c r="AU62" s="2">
        <f>SUM(AL63:AL63)</f>
        <v>0</v>
      </c>
    </row>
    <row r="63" spans="1:76" ht="15" customHeight="1" x14ac:dyDescent="0.25">
      <c r="A63" s="26" t="s">
        <v>220</v>
      </c>
      <c r="B63" s="4"/>
      <c r="C63" s="4" t="s">
        <v>221</v>
      </c>
      <c r="D63" s="65" t="s">
        <v>222</v>
      </c>
      <c r="E63" s="65"/>
      <c r="F63" s="4" t="s">
        <v>71</v>
      </c>
      <c r="G63" s="27">
        <v>14</v>
      </c>
      <c r="H63" s="27">
        <v>0</v>
      </c>
      <c r="I63" s="28" t="s">
        <v>61</v>
      </c>
      <c r="J63" s="27">
        <f>G63*AO63</f>
        <v>0</v>
      </c>
      <c r="K63" s="27">
        <f>G63*AP63</f>
        <v>0</v>
      </c>
      <c r="L63" s="27">
        <f>G63*H63</f>
        <v>0</v>
      </c>
      <c r="M63" s="27">
        <f>L63*(1+BW63/100)</f>
        <v>0</v>
      </c>
      <c r="N63" s="27">
        <v>2.0000000000000002E-5</v>
      </c>
      <c r="O63" s="27">
        <f>G63*N63</f>
        <v>2.8000000000000003E-4</v>
      </c>
      <c r="P63" s="29" t="s">
        <v>62</v>
      </c>
      <c r="Z63" s="27">
        <f>IF(AQ63="5",BJ63,0)</f>
        <v>0</v>
      </c>
      <c r="AB63" s="27">
        <f>IF(AQ63="1",BH63,0)</f>
        <v>0</v>
      </c>
      <c r="AC63" s="27">
        <f>IF(AQ63="1",BI63,0)</f>
        <v>0</v>
      </c>
      <c r="AD63" s="27">
        <f>IF(AQ63="7",BH63,0)</f>
        <v>0</v>
      </c>
      <c r="AE63" s="27">
        <f>IF(AQ63="7",BI63,0)</f>
        <v>0</v>
      </c>
      <c r="AF63" s="27">
        <f>IF(AQ63="2",BH63,0)</f>
        <v>0</v>
      </c>
      <c r="AG63" s="27">
        <f>IF(AQ63="2",BI63,0)</f>
        <v>0</v>
      </c>
      <c r="AH63" s="27">
        <f>IF(AQ63="0",BJ63,0)</f>
        <v>0</v>
      </c>
      <c r="AI63" s="13"/>
      <c r="AJ63" s="27">
        <f>IF(AN63=0,L63,0)</f>
        <v>0</v>
      </c>
      <c r="AK63" s="27">
        <f>IF(AN63=12,L63,0)</f>
        <v>0</v>
      </c>
      <c r="AL63" s="27">
        <f>IF(AN63=21,L63,0)</f>
        <v>0</v>
      </c>
      <c r="AN63" s="27">
        <v>21</v>
      </c>
      <c r="AO63" s="27">
        <f>H63*0.477240188</f>
        <v>0</v>
      </c>
      <c r="AP63" s="27">
        <f>H63*(1-0.477240188)</f>
        <v>0</v>
      </c>
      <c r="AQ63" s="28" t="s">
        <v>57</v>
      </c>
      <c r="AV63" s="27">
        <f>AW63+AX63</f>
        <v>0</v>
      </c>
      <c r="AW63" s="27">
        <f>G63*AO63</f>
        <v>0</v>
      </c>
      <c r="AX63" s="27">
        <f>G63*AP63</f>
        <v>0</v>
      </c>
      <c r="AY63" s="28" t="s">
        <v>223</v>
      </c>
      <c r="AZ63" s="28" t="s">
        <v>224</v>
      </c>
      <c r="BA63" s="13" t="s">
        <v>65</v>
      </c>
      <c r="BC63" s="27">
        <f>AW63+AX63</f>
        <v>0</v>
      </c>
      <c r="BD63" s="27">
        <f>H63/(100-BE63)*100</f>
        <v>0</v>
      </c>
      <c r="BE63" s="27">
        <v>0</v>
      </c>
      <c r="BF63" s="27">
        <f>O63</f>
        <v>2.8000000000000003E-4</v>
      </c>
      <c r="BH63" s="27">
        <f>G63*AO63</f>
        <v>0</v>
      </c>
      <c r="BI63" s="27">
        <f>G63*AP63</f>
        <v>0</v>
      </c>
      <c r="BJ63" s="27">
        <f>G63*H63</f>
        <v>0</v>
      </c>
      <c r="BK63" s="27"/>
      <c r="BL63" s="27">
        <v>87</v>
      </c>
      <c r="BW63" s="27" t="str">
        <f>I63</f>
        <v>21</v>
      </c>
      <c r="BX63" s="3" t="s">
        <v>222</v>
      </c>
    </row>
    <row r="64" spans="1:76" ht="15" customHeight="1" x14ac:dyDescent="0.25">
      <c r="A64" s="22"/>
      <c r="B64" s="23"/>
      <c r="C64" s="23" t="s">
        <v>225</v>
      </c>
      <c r="D64" s="74" t="s">
        <v>226</v>
      </c>
      <c r="E64" s="74"/>
      <c r="F64" s="24" t="s">
        <v>4</v>
      </c>
      <c r="G64" s="24" t="s">
        <v>4</v>
      </c>
      <c r="H64" s="24" t="s">
        <v>4</v>
      </c>
      <c r="I64" s="24" t="s">
        <v>4</v>
      </c>
      <c r="J64" s="2">
        <f>SUM(J65:J65)</f>
        <v>0</v>
      </c>
      <c r="K64" s="2">
        <f>SUM(K65:K65)</f>
        <v>0</v>
      </c>
      <c r="L64" s="2">
        <f>SUM(L65:L65)</f>
        <v>0</v>
      </c>
      <c r="M64" s="2">
        <f>SUM(M65:M65)</f>
        <v>0</v>
      </c>
      <c r="N64" s="13"/>
      <c r="O64" s="2">
        <f>SUM(O65:O65)</f>
        <v>0</v>
      </c>
      <c r="P64" s="25"/>
      <c r="AI64" s="13"/>
      <c r="AS64" s="2">
        <f>SUM(AJ65:AJ65)</f>
        <v>0</v>
      </c>
      <c r="AT64" s="2">
        <f>SUM(AK65:AK65)</f>
        <v>0</v>
      </c>
      <c r="AU64" s="2">
        <f>SUM(AL65:AL65)</f>
        <v>0</v>
      </c>
    </row>
    <row r="65" spans="1:76" ht="15" customHeight="1" x14ac:dyDescent="0.25">
      <c r="A65" s="26" t="s">
        <v>227</v>
      </c>
      <c r="B65" s="4"/>
      <c r="C65" s="4" t="s">
        <v>228</v>
      </c>
      <c r="D65" s="65" t="s">
        <v>229</v>
      </c>
      <c r="E65" s="65"/>
      <c r="F65" s="4" t="s">
        <v>71</v>
      </c>
      <c r="G65" s="27">
        <v>32</v>
      </c>
      <c r="H65" s="27">
        <v>0</v>
      </c>
      <c r="I65" s="28" t="s">
        <v>61</v>
      </c>
      <c r="J65" s="27">
        <f>G65*AO65</f>
        <v>0</v>
      </c>
      <c r="K65" s="27">
        <f>G65*AP65</f>
        <v>0</v>
      </c>
      <c r="L65" s="27">
        <f>G65*H65</f>
        <v>0</v>
      </c>
      <c r="M65" s="27">
        <f>L65*(1+BW65/100)</f>
        <v>0</v>
      </c>
      <c r="N65" s="27">
        <v>0</v>
      </c>
      <c r="O65" s="27">
        <f>G65*N65</f>
        <v>0</v>
      </c>
      <c r="P65" s="29" t="s">
        <v>62</v>
      </c>
      <c r="Z65" s="27">
        <f>IF(AQ65="5",BJ65,0)</f>
        <v>0</v>
      </c>
      <c r="AB65" s="27">
        <f>IF(AQ65="1",BH65,0)</f>
        <v>0</v>
      </c>
      <c r="AC65" s="27">
        <f>IF(AQ65="1",BI65,0)</f>
        <v>0</v>
      </c>
      <c r="AD65" s="27">
        <f>IF(AQ65="7",BH65,0)</f>
        <v>0</v>
      </c>
      <c r="AE65" s="27">
        <f>IF(AQ65="7",BI65,0)</f>
        <v>0</v>
      </c>
      <c r="AF65" s="27">
        <f>IF(AQ65="2",BH65,0)</f>
        <v>0</v>
      </c>
      <c r="AG65" s="27">
        <f>IF(AQ65="2",BI65,0)</f>
        <v>0</v>
      </c>
      <c r="AH65" s="27">
        <f>IF(AQ65="0",BJ65,0)</f>
        <v>0</v>
      </c>
      <c r="AI65" s="13"/>
      <c r="AJ65" s="27">
        <f>IF(AN65=0,L65,0)</f>
        <v>0</v>
      </c>
      <c r="AK65" s="27">
        <f>IF(AN65=12,L65,0)</f>
        <v>0</v>
      </c>
      <c r="AL65" s="27">
        <f>IF(AN65=21,L65,0)</f>
        <v>0</v>
      </c>
      <c r="AN65" s="27">
        <v>21</v>
      </c>
      <c r="AO65" s="27">
        <f>H65*0</f>
        <v>0</v>
      </c>
      <c r="AP65" s="27">
        <f>H65*(1-0)</f>
        <v>0</v>
      </c>
      <c r="AQ65" s="28" t="s">
        <v>57</v>
      </c>
      <c r="AV65" s="27">
        <f>AW65+AX65</f>
        <v>0</v>
      </c>
      <c r="AW65" s="27">
        <f>G65*AO65</f>
        <v>0</v>
      </c>
      <c r="AX65" s="27">
        <f>G65*AP65</f>
        <v>0</v>
      </c>
      <c r="AY65" s="28" t="s">
        <v>230</v>
      </c>
      <c r="AZ65" s="28" t="s">
        <v>224</v>
      </c>
      <c r="BA65" s="13" t="s">
        <v>65</v>
      </c>
      <c r="BC65" s="27">
        <f>AW65+AX65</f>
        <v>0</v>
      </c>
      <c r="BD65" s="27">
        <f>H65/(100-BE65)*100</f>
        <v>0</v>
      </c>
      <c r="BE65" s="27">
        <v>0</v>
      </c>
      <c r="BF65" s="27">
        <f>O65</f>
        <v>0</v>
      </c>
      <c r="BH65" s="27">
        <f>G65*AO65</f>
        <v>0</v>
      </c>
      <c r="BI65" s="27">
        <f>G65*AP65</f>
        <v>0</v>
      </c>
      <c r="BJ65" s="27">
        <f>G65*H65</f>
        <v>0</v>
      </c>
      <c r="BK65" s="27"/>
      <c r="BL65" s="27">
        <v>88</v>
      </c>
      <c r="BW65" s="27" t="str">
        <f>I65</f>
        <v>21</v>
      </c>
      <c r="BX65" s="3" t="s">
        <v>229</v>
      </c>
    </row>
    <row r="66" spans="1:76" ht="15" customHeight="1" x14ac:dyDescent="0.25">
      <c r="A66" s="22"/>
      <c r="B66" s="23"/>
      <c r="C66" s="23" t="s">
        <v>231</v>
      </c>
      <c r="D66" s="74" t="s">
        <v>232</v>
      </c>
      <c r="E66" s="74"/>
      <c r="F66" s="24" t="s">
        <v>4</v>
      </c>
      <c r="G66" s="24" t="s">
        <v>4</v>
      </c>
      <c r="H66" s="24" t="s">
        <v>4</v>
      </c>
      <c r="I66" s="24" t="s">
        <v>4</v>
      </c>
      <c r="J66" s="2">
        <f>SUM(J67:J67)</f>
        <v>0</v>
      </c>
      <c r="K66" s="2">
        <f>SUM(K67:K67)</f>
        <v>0</v>
      </c>
      <c r="L66" s="2">
        <f>SUM(L67:L67)</f>
        <v>0</v>
      </c>
      <c r="M66" s="2">
        <f>SUM(M67:M67)</f>
        <v>0</v>
      </c>
      <c r="N66" s="13"/>
      <c r="O66" s="2">
        <f>SUM(O67:O67)</f>
        <v>0</v>
      </c>
      <c r="P66" s="25"/>
      <c r="AI66" s="13"/>
      <c r="AS66" s="2">
        <f>SUM(AJ67:AJ67)</f>
        <v>0</v>
      </c>
      <c r="AT66" s="2">
        <f>SUM(AK67:AK67)</f>
        <v>0</v>
      </c>
      <c r="AU66" s="2">
        <f>SUM(AL67:AL67)</f>
        <v>0</v>
      </c>
    </row>
    <row r="67" spans="1:76" ht="15" customHeight="1" x14ac:dyDescent="0.25">
      <c r="A67" s="26" t="s">
        <v>233</v>
      </c>
      <c r="B67" s="4"/>
      <c r="C67" s="4" t="s">
        <v>234</v>
      </c>
      <c r="D67" s="65" t="s">
        <v>235</v>
      </c>
      <c r="E67" s="65"/>
      <c r="F67" s="4" t="s">
        <v>236</v>
      </c>
      <c r="G67" s="27">
        <v>20</v>
      </c>
      <c r="H67" s="27">
        <v>0</v>
      </c>
      <c r="I67" s="28" t="s">
        <v>61</v>
      </c>
      <c r="J67" s="27">
        <f>G67*AO67</f>
        <v>0</v>
      </c>
      <c r="K67" s="27">
        <f>G67*AP67</f>
        <v>0</v>
      </c>
      <c r="L67" s="27">
        <f>G67*H67</f>
        <v>0</v>
      </c>
      <c r="M67" s="27">
        <f>L67*(1+BW67/100)</f>
        <v>0</v>
      </c>
      <c r="N67" s="27">
        <v>0</v>
      </c>
      <c r="O67" s="27">
        <f>G67*N67</f>
        <v>0</v>
      </c>
      <c r="P67" s="29" t="s">
        <v>62</v>
      </c>
      <c r="Z67" s="27">
        <f>IF(AQ67="5",BJ67,0)</f>
        <v>0</v>
      </c>
      <c r="AB67" s="27">
        <f>IF(AQ67="1",BH67,0)</f>
        <v>0</v>
      </c>
      <c r="AC67" s="27">
        <f>IF(AQ67="1",BI67,0)</f>
        <v>0</v>
      </c>
      <c r="AD67" s="27">
        <f>IF(AQ67="7",BH67,0)</f>
        <v>0</v>
      </c>
      <c r="AE67" s="27">
        <f>IF(AQ67="7",BI67,0)</f>
        <v>0</v>
      </c>
      <c r="AF67" s="27">
        <f>IF(AQ67="2",BH67,0)</f>
        <v>0</v>
      </c>
      <c r="AG67" s="27">
        <f>IF(AQ67="2",BI67,0)</f>
        <v>0</v>
      </c>
      <c r="AH67" s="27">
        <f>IF(AQ67="0",BJ67,0)</f>
        <v>0</v>
      </c>
      <c r="AI67" s="13"/>
      <c r="AJ67" s="27">
        <f>IF(AN67=0,L67,0)</f>
        <v>0</v>
      </c>
      <c r="AK67" s="27">
        <f>IF(AN67=12,L67,0)</f>
        <v>0</v>
      </c>
      <c r="AL67" s="27">
        <f>IF(AN67=21,L67,0)</f>
        <v>0</v>
      </c>
      <c r="AN67" s="27">
        <v>21</v>
      </c>
      <c r="AO67" s="27">
        <f>H67*0</f>
        <v>0</v>
      </c>
      <c r="AP67" s="27">
        <f>H67*(1-0)</f>
        <v>0</v>
      </c>
      <c r="AQ67" s="28" t="s">
        <v>57</v>
      </c>
      <c r="AV67" s="27">
        <f>AW67+AX67</f>
        <v>0</v>
      </c>
      <c r="AW67" s="27">
        <f>G67*AO67</f>
        <v>0</v>
      </c>
      <c r="AX67" s="27">
        <f>G67*AP67</f>
        <v>0</v>
      </c>
      <c r="AY67" s="28" t="s">
        <v>237</v>
      </c>
      <c r="AZ67" s="28" t="s">
        <v>238</v>
      </c>
      <c r="BA67" s="13" t="s">
        <v>65</v>
      </c>
      <c r="BC67" s="27">
        <f>AW67+AX67</f>
        <v>0</v>
      </c>
      <c r="BD67" s="27">
        <f>H67/(100-BE67)*100</f>
        <v>0</v>
      </c>
      <c r="BE67" s="27">
        <v>0</v>
      </c>
      <c r="BF67" s="27">
        <f>O67</f>
        <v>0</v>
      </c>
      <c r="BH67" s="27">
        <f>G67*AO67</f>
        <v>0</v>
      </c>
      <c r="BI67" s="27">
        <f>G67*AP67</f>
        <v>0</v>
      </c>
      <c r="BJ67" s="27">
        <f>G67*H67</f>
        <v>0</v>
      </c>
      <c r="BK67" s="27"/>
      <c r="BL67" s="27">
        <v>90</v>
      </c>
      <c r="BW67" s="27" t="str">
        <f>I67</f>
        <v>21</v>
      </c>
      <c r="BX67" s="3" t="s">
        <v>235</v>
      </c>
    </row>
    <row r="68" spans="1:76" ht="15" customHeight="1" x14ac:dyDescent="0.25">
      <c r="A68" s="22"/>
      <c r="B68" s="23"/>
      <c r="C68" s="23" t="s">
        <v>239</v>
      </c>
      <c r="D68" s="74" t="s">
        <v>240</v>
      </c>
      <c r="E68" s="74"/>
      <c r="F68" s="24" t="s">
        <v>4</v>
      </c>
      <c r="G68" s="24" t="s">
        <v>4</v>
      </c>
      <c r="H68" s="24" t="s">
        <v>4</v>
      </c>
      <c r="I68" s="24" t="s">
        <v>4</v>
      </c>
      <c r="J68" s="2">
        <f>SUM(J69:J69)</f>
        <v>0</v>
      </c>
      <c r="K68" s="2">
        <f>SUM(K69:K69)</f>
        <v>0</v>
      </c>
      <c r="L68" s="2">
        <f>SUM(L69:L69)</f>
        <v>0</v>
      </c>
      <c r="M68" s="2">
        <f>SUM(M69:M69)</f>
        <v>0</v>
      </c>
      <c r="N68" s="13"/>
      <c r="O68" s="2">
        <f>SUM(O69:O69)</f>
        <v>4.5600000000000002E-2</v>
      </c>
      <c r="P68" s="25"/>
      <c r="AI68" s="13"/>
      <c r="AS68" s="2">
        <f>SUM(AJ69:AJ69)</f>
        <v>0</v>
      </c>
      <c r="AT68" s="2">
        <f>SUM(AK69:AK69)</f>
        <v>0</v>
      </c>
      <c r="AU68" s="2">
        <f>SUM(AL69:AL69)</f>
        <v>0</v>
      </c>
    </row>
    <row r="69" spans="1:76" ht="15" customHeight="1" x14ac:dyDescent="0.25">
      <c r="A69" s="26" t="s">
        <v>241</v>
      </c>
      <c r="B69" s="4"/>
      <c r="C69" s="4" t="s">
        <v>242</v>
      </c>
      <c r="D69" s="65" t="s">
        <v>243</v>
      </c>
      <c r="E69" s="65"/>
      <c r="F69" s="4" t="s">
        <v>83</v>
      </c>
      <c r="G69" s="27">
        <v>15</v>
      </c>
      <c r="H69" s="27">
        <v>0</v>
      </c>
      <c r="I69" s="28" t="s">
        <v>61</v>
      </c>
      <c r="J69" s="27">
        <f>G69*AO69</f>
        <v>0</v>
      </c>
      <c r="K69" s="27">
        <f>G69*AP69</f>
        <v>0</v>
      </c>
      <c r="L69" s="27">
        <f>G69*H69</f>
        <v>0</v>
      </c>
      <c r="M69" s="27">
        <f>L69*(1+BW69/100)</f>
        <v>0</v>
      </c>
      <c r="N69" s="27">
        <v>3.0400000000000002E-3</v>
      </c>
      <c r="O69" s="27">
        <f>G69*N69</f>
        <v>4.5600000000000002E-2</v>
      </c>
      <c r="P69" s="29" t="s">
        <v>62</v>
      </c>
      <c r="Z69" s="27">
        <f>IF(AQ69="5",BJ69,0)</f>
        <v>0</v>
      </c>
      <c r="AB69" s="27">
        <f>IF(AQ69="1",BH69,0)</f>
        <v>0</v>
      </c>
      <c r="AC69" s="27">
        <f>IF(AQ69="1",BI69,0)</f>
        <v>0</v>
      </c>
      <c r="AD69" s="27">
        <f>IF(AQ69="7",BH69,0)</f>
        <v>0</v>
      </c>
      <c r="AE69" s="27">
        <f>IF(AQ69="7",BI69,0)</f>
        <v>0</v>
      </c>
      <c r="AF69" s="27">
        <f>IF(AQ69="2",BH69,0)</f>
        <v>0</v>
      </c>
      <c r="AG69" s="27">
        <f>IF(AQ69="2",BI69,0)</f>
        <v>0</v>
      </c>
      <c r="AH69" s="27">
        <f>IF(AQ69="0",BJ69,0)</f>
        <v>0</v>
      </c>
      <c r="AI69" s="13"/>
      <c r="AJ69" s="27">
        <f>IF(AN69=0,L69,0)</f>
        <v>0</v>
      </c>
      <c r="AK69" s="27">
        <f>IF(AN69=12,L69,0)</f>
        <v>0</v>
      </c>
      <c r="AL69" s="27">
        <f>IF(AN69=21,L69,0)</f>
        <v>0</v>
      </c>
      <c r="AN69" s="27">
        <v>21</v>
      </c>
      <c r="AO69" s="27">
        <f>H69*0.275299474</f>
        <v>0</v>
      </c>
      <c r="AP69" s="27">
        <f>H69*(1-0.275299474)</f>
        <v>0</v>
      </c>
      <c r="AQ69" s="28" t="s">
        <v>57</v>
      </c>
      <c r="AV69" s="27">
        <f>AW69+AX69</f>
        <v>0</v>
      </c>
      <c r="AW69" s="27">
        <f>G69*AO69</f>
        <v>0</v>
      </c>
      <c r="AX69" s="27">
        <f>G69*AP69</f>
        <v>0</v>
      </c>
      <c r="AY69" s="28" t="s">
        <v>244</v>
      </c>
      <c r="AZ69" s="28" t="s">
        <v>238</v>
      </c>
      <c r="BA69" s="13" t="s">
        <v>65</v>
      </c>
      <c r="BC69" s="27">
        <f>AW69+AX69</f>
        <v>0</v>
      </c>
      <c r="BD69" s="27">
        <f>H69/(100-BE69)*100</f>
        <v>0</v>
      </c>
      <c r="BE69" s="27">
        <v>0</v>
      </c>
      <c r="BF69" s="27">
        <f>O69</f>
        <v>4.5600000000000002E-2</v>
      </c>
      <c r="BH69" s="27">
        <f>G69*AO69</f>
        <v>0</v>
      </c>
      <c r="BI69" s="27">
        <f>G69*AP69</f>
        <v>0</v>
      </c>
      <c r="BJ69" s="27">
        <f>G69*H69</f>
        <v>0</v>
      </c>
      <c r="BK69" s="27"/>
      <c r="BL69" s="27">
        <v>94</v>
      </c>
      <c r="BW69" s="27" t="str">
        <f>I69</f>
        <v>21</v>
      </c>
      <c r="BX69" s="3" t="s">
        <v>243</v>
      </c>
    </row>
    <row r="70" spans="1:76" ht="15" customHeight="1" x14ac:dyDescent="0.25">
      <c r="A70" s="22"/>
      <c r="B70" s="23"/>
      <c r="C70" s="23" t="s">
        <v>245</v>
      </c>
      <c r="D70" s="74" t="s">
        <v>246</v>
      </c>
      <c r="E70" s="74"/>
      <c r="F70" s="24" t="s">
        <v>4</v>
      </c>
      <c r="G70" s="24" t="s">
        <v>4</v>
      </c>
      <c r="H70" s="24" t="s">
        <v>4</v>
      </c>
      <c r="I70" s="24" t="s">
        <v>4</v>
      </c>
      <c r="J70" s="2">
        <f>SUM(J71:J72)</f>
        <v>0</v>
      </c>
      <c r="K70" s="2">
        <f>SUM(K71:K72)</f>
        <v>0</v>
      </c>
      <c r="L70" s="2">
        <f>SUM(L71:L72)</f>
        <v>0</v>
      </c>
      <c r="M70" s="2">
        <f>SUM(M71:M72)</f>
        <v>0</v>
      </c>
      <c r="N70" s="13"/>
      <c r="O70" s="2">
        <f>SUM(O71:O72)</f>
        <v>32.56</v>
      </c>
      <c r="P70" s="25"/>
      <c r="AI70" s="13"/>
      <c r="AS70" s="2">
        <f>SUM(AJ71:AJ72)</f>
        <v>0</v>
      </c>
      <c r="AT70" s="2">
        <f>SUM(AK71:AK72)</f>
        <v>0</v>
      </c>
      <c r="AU70" s="2">
        <f>SUM(AL71:AL72)</f>
        <v>0</v>
      </c>
    </row>
    <row r="71" spans="1:76" ht="15" customHeight="1" x14ac:dyDescent="0.25">
      <c r="A71" s="26" t="s">
        <v>247</v>
      </c>
      <c r="B71" s="4"/>
      <c r="C71" s="4" t="s">
        <v>248</v>
      </c>
      <c r="D71" s="65" t="s">
        <v>249</v>
      </c>
      <c r="E71" s="65"/>
      <c r="F71" s="4" t="s">
        <v>60</v>
      </c>
      <c r="G71" s="27">
        <v>14.8</v>
      </c>
      <c r="H71" s="27">
        <v>0</v>
      </c>
      <c r="I71" s="28" t="s">
        <v>61</v>
      </c>
      <c r="J71" s="27">
        <f>G71*AO71</f>
        <v>0</v>
      </c>
      <c r="K71" s="27">
        <f>G71*AP71</f>
        <v>0</v>
      </c>
      <c r="L71" s="27">
        <f>G71*H71</f>
        <v>0</v>
      </c>
      <c r="M71" s="27">
        <f>L71*(1+BW71/100)</f>
        <v>0</v>
      </c>
      <c r="N71" s="27">
        <v>2.2000000000000002</v>
      </c>
      <c r="O71" s="27">
        <f>G71*N71</f>
        <v>32.56</v>
      </c>
      <c r="P71" s="29" t="s">
        <v>62</v>
      </c>
      <c r="Z71" s="27">
        <f>IF(AQ71="5",BJ71,0)</f>
        <v>0</v>
      </c>
      <c r="AB71" s="27">
        <f>IF(AQ71="1",BH71,0)</f>
        <v>0</v>
      </c>
      <c r="AC71" s="27">
        <f>IF(AQ71="1",BI71,0)</f>
        <v>0</v>
      </c>
      <c r="AD71" s="27">
        <f>IF(AQ71="7",BH71,0)</f>
        <v>0</v>
      </c>
      <c r="AE71" s="27">
        <f>IF(AQ71="7",BI71,0)</f>
        <v>0</v>
      </c>
      <c r="AF71" s="27">
        <f>IF(AQ71="2",BH71,0)</f>
        <v>0</v>
      </c>
      <c r="AG71" s="27">
        <f>IF(AQ71="2",BI71,0)</f>
        <v>0</v>
      </c>
      <c r="AH71" s="27">
        <f>IF(AQ71="0",BJ71,0)</f>
        <v>0</v>
      </c>
      <c r="AI71" s="13"/>
      <c r="AJ71" s="27">
        <f>IF(AN71=0,L71,0)</f>
        <v>0</v>
      </c>
      <c r="AK71" s="27">
        <f>IF(AN71=12,L71,0)</f>
        <v>0</v>
      </c>
      <c r="AL71" s="27">
        <f>IF(AN71=21,L71,0)</f>
        <v>0</v>
      </c>
      <c r="AN71" s="27">
        <v>21</v>
      </c>
      <c r="AO71" s="27">
        <f>H71*0</f>
        <v>0</v>
      </c>
      <c r="AP71" s="27">
        <f>H71*(1-0)</f>
        <v>0</v>
      </c>
      <c r="AQ71" s="28" t="s">
        <v>57</v>
      </c>
      <c r="AV71" s="27">
        <f>AW71+AX71</f>
        <v>0</v>
      </c>
      <c r="AW71" s="27">
        <f>G71*AO71</f>
        <v>0</v>
      </c>
      <c r="AX71" s="27">
        <f>G71*AP71</f>
        <v>0</v>
      </c>
      <c r="AY71" s="28" t="s">
        <v>250</v>
      </c>
      <c r="AZ71" s="28" t="s">
        <v>238</v>
      </c>
      <c r="BA71" s="13" t="s">
        <v>65</v>
      </c>
      <c r="BC71" s="27">
        <f>AW71+AX71</f>
        <v>0</v>
      </c>
      <c r="BD71" s="27">
        <f>H71/(100-BE71)*100</f>
        <v>0</v>
      </c>
      <c r="BE71" s="27">
        <v>0</v>
      </c>
      <c r="BF71" s="27">
        <f>O71</f>
        <v>32.56</v>
      </c>
      <c r="BH71" s="27">
        <f>G71*AO71</f>
        <v>0</v>
      </c>
      <c r="BI71" s="27">
        <f>G71*AP71</f>
        <v>0</v>
      </c>
      <c r="BJ71" s="27">
        <f>G71*H71</f>
        <v>0</v>
      </c>
      <c r="BK71" s="27"/>
      <c r="BL71" s="27">
        <v>96</v>
      </c>
      <c r="BW71" s="27" t="str">
        <f>I71</f>
        <v>21</v>
      </c>
      <c r="BX71" s="3" t="s">
        <v>249</v>
      </c>
    </row>
    <row r="72" spans="1:76" ht="15" customHeight="1" x14ac:dyDescent="0.25">
      <c r="A72" s="26" t="s">
        <v>251</v>
      </c>
      <c r="B72" s="4"/>
      <c r="C72" s="4" t="s">
        <v>252</v>
      </c>
      <c r="D72" s="65" t="s">
        <v>253</v>
      </c>
      <c r="E72" s="65"/>
      <c r="F72" s="4" t="s">
        <v>60</v>
      </c>
      <c r="G72" s="27">
        <v>14.8</v>
      </c>
      <c r="H72" s="27">
        <v>0</v>
      </c>
      <c r="I72" s="28" t="s">
        <v>61</v>
      </c>
      <c r="J72" s="27">
        <f>G72*AO72</f>
        <v>0</v>
      </c>
      <c r="K72" s="27">
        <f>G72*AP72</f>
        <v>0</v>
      </c>
      <c r="L72" s="27">
        <f>G72*H72</f>
        <v>0</v>
      </c>
      <c r="M72" s="27">
        <f>L72*(1+BW72/100)</f>
        <v>0</v>
      </c>
      <c r="N72" s="27">
        <v>0</v>
      </c>
      <c r="O72" s="27">
        <f>G72*N72</f>
        <v>0</v>
      </c>
      <c r="P72" s="29" t="s">
        <v>62</v>
      </c>
      <c r="Z72" s="27">
        <f>IF(AQ72="5",BJ72,0)</f>
        <v>0</v>
      </c>
      <c r="AB72" s="27">
        <f>IF(AQ72="1",BH72,0)</f>
        <v>0</v>
      </c>
      <c r="AC72" s="27">
        <f>IF(AQ72="1",BI72,0)</f>
        <v>0</v>
      </c>
      <c r="AD72" s="27">
        <f>IF(AQ72="7",BH72,0)</f>
        <v>0</v>
      </c>
      <c r="AE72" s="27">
        <f>IF(AQ72="7",BI72,0)</f>
        <v>0</v>
      </c>
      <c r="AF72" s="27">
        <f>IF(AQ72="2",BH72,0)</f>
        <v>0</v>
      </c>
      <c r="AG72" s="27">
        <f>IF(AQ72="2",BI72,0)</f>
        <v>0</v>
      </c>
      <c r="AH72" s="27">
        <f>IF(AQ72="0",BJ72,0)</f>
        <v>0</v>
      </c>
      <c r="AI72" s="13"/>
      <c r="AJ72" s="27">
        <f>IF(AN72=0,L72,0)</f>
        <v>0</v>
      </c>
      <c r="AK72" s="27">
        <f>IF(AN72=12,L72,0)</f>
        <v>0</v>
      </c>
      <c r="AL72" s="27">
        <f>IF(AN72=21,L72,0)</f>
        <v>0</v>
      </c>
      <c r="AN72" s="27">
        <v>21</v>
      </c>
      <c r="AO72" s="27">
        <f>H72*0</f>
        <v>0</v>
      </c>
      <c r="AP72" s="27">
        <f>H72*(1-0)</f>
        <v>0</v>
      </c>
      <c r="AQ72" s="28" t="s">
        <v>57</v>
      </c>
      <c r="AV72" s="27">
        <f>AW72+AX72</f>
        <v>0</v>
      </c>
      <c r="AW72" s="27">
        <f>G72*AO72</f>
        <v>0</v>
      </c>
      <c r="AX72" s="27">
        <f>G72*AP72</f>
        <v>0</v>
      </c>
      <c r="AY72" s="28" t="s">
        <v>250</v>
      </c>
      <c r="AZ72" s="28" t="s">
        <v>238</v>
      </c>
      <c r="BA72" s="13" t="s">
        <v>65</v>
      </c>
      <c r="BC72" s="27">
        <f>AW72+AX72</f>
        <v>0</v>
      </c>
      <c r="BD72" s="27">
        <f>H72/(100-BE72)*100</f>
        <v>0</v>
      </c>
      <c r="BE72" s="27">
        <v>0</v>
      </c>
      <c r="BF72" s="27">
        <f>O72</f>
        <v>0</v>
      </c>
      <c r="BH72" s="27">
        <f>G72*AO72</f>
        <v>0</v>
      </c>
      <c r="BI72" s="27">
        <f>G72*AP72</f>
        <v>0</v>
      </c>
      <c r="BJ72" s="27">
        <f>G72*H72</f>
        <v>0</v>
      </c>
      <c r="BK72" s="27"/>
      <c r="BL72" s="27">
        <v>96</v>
      </c>
      <c r="BW72" s="27" t="str">
        <f>I72</f>
        <v>21</v>
      </c>
      <c r="BX72" s="3" t="s">
        <v>253</v>
      </c>
    </row>
    <row r="73" spans="1:76" ht="15" customHeight="1" x14ac:dyDescent="0.25">
      <c r="A73" s="22"/>
      <c r="B73" s="23"/>
      <c r="C73" s="23" t="s">
        <v>254</v>
      </c>
      <c r="D73" s="74" t="s">
        <v>255</v>
      </c>
      <c r="E73" s="74"/>
      <c r="F73" s="24" t="s">
        <v>4</v>
      </c>
      <c r="G73" s="24" t="s">
        <v>4</v>
      </c>
      <c r="H73" s="24" t="s">
        <v>4</v>
      </c>
      <c r="I73" s="24" t="s">
        <v>4</v>
      </c>
      <c r="J73" s="2">
        <f>SUM(J74:J76)</f>
        <v>0</v>
      </c>
      <c r="K73" s="2">
        <f>SUM(K74:K76)</f>
        <v>0</v>
      </c>
      <c r="L73" s="2">
        <f>SUM(L74:L76)</f>
        <v>0</v>
      </c>
      <c r="M73" s="2">
        <f>SUM(M74:M76)</f>
        <v>0</v>
      </c>
      <c r="N73" s="13"/>
      <c r="O73" s="2">
        <f>SUM(O74:O76)</f>
        <v>0.34018999999999999</v>
      </c>
      <c r="P73" s="25"/>
      <c r="AI73" s="13"/>
      <c r="AS73" s="2">
        <f>SUM(AJ74:AJ76)</f>
        <v>0</v>
      </c>
      <c r="AT73" s="2">
        <f>SUM(AK74:AK76)</f>
        <v>0</v>
      </c>
      <c r="AU73" s="2">
        <f>SUM(AL74:AL76)</f>
        <v>0</v>
      </c>
    </row>
    <row r="74" spans="1:76" ht="15" customHeight="1" x14ac:dyDescent="0.25">
      <c r="A74" s="26" t="s">
        <v>256</v>
      </c>
      <c r="B74" s="4"/>
      <c r="C74" s="4" t="s">
        <v>257</v>
      </c>
      <c r="D74" s="65" t="s">
        <v>258</v>
      </c>
      <c r="E74" s="65"/>
      <c r="F74" s="4" t="s">
        <v>71</v>
      </c>
      <c r="G74" s="27">
        <v>15</v>
      </c>
      <c r="H74" s="27">
        <v>0</v>
      </c>
      <c r="I74" s="28" t="s">
        <v>61</v>
      </c>
      <c r="J74" s="27">
        <f>G74*AO74</f>
        <v>0</v>
      </c>
      <c r="K74" s="27">
        <f>G74*AP74</f>
        <v>0</v>
      </c>
      <c r="L74" s="27">
        <f>G74*H74</f>
        <v>0</v>
      </c>
      <c r="M74" s="27">
        <f>L74*(1+BW74/100)</f>
        <v>0</v>
      </c>
      <c r="N74" s="27">
        <v>6.4900000000000001E-3</v>
      </c>
      <c r="O74" s="27">
        <f>G74*N74</f>
        <v>9.7350000000000006E-2</v>
      </c>
      <c r="P74" s="29" t="s">
        <v>62</v>
      </c>
      <c r="Z74" s="27">
        <f>IF(AQ74="5",BJ74,0)</f>
        <v>0</v>
      </c>
      <c r="AB74" s="27">
        <f>IF(AQ74="1",BH74,0)</f>
        <v>0</v>
      </c>
      <c r="AC74" s="27">
        <f>IF(AQ74="1",BI74,0)</f>
        <v>0</v>
      </c>
      <c r="AD74" s="27">
        <f>IF(AQ74="7",BH74,0)</f>
        <v>0</v>
      </c>
      <c r="AE74" s="27">
        <f>IF(AQ74="7",BI74,0)</f>
        <v>0</v>
      </c>
      <c r="AF74" s="27">
        <f>IF(AQ74="2",BH74,0)</f>
        <v>0</v>
      </c>
      <c r="AG74" s="27">
        <f>IF(AQ74="2",BI74,0)</f>
        <v>0</v>
      </c>
      <c r="AH74" s="27">
        <f>IF(AQ74="0",BJ74,0)</f>
        <v>0</v>
      </c>
      <c r="AI74" s="13"/>
      <c r="AJ74" s="27">
        <f>IF(AN74=0,L74,0)</f>
        <v>0</v>
      </c>
      <c r="AK74" s="27">
        <f>IF(AN74=12,L74,0)</f>
        <v>0</v>
      </c>
      <c r="AL74" s="27">
        <f>IF(AN74=21,L74,0)</f>
        <v>0</v>
      </c>
      <c r="AN74" s="27">
        <v>21</v>
      </c>
      <c r="AO74" s="27">
        <f>H74*0.108301887</f>
        <v>0</v>
      </c>
      <c r="AP74" s="27">
        <f>H74*(1-0.108301887)</f>
        <v>0</v>
      </c>
      <c r="AQ74" s="28" t="s">
        <v>57</v>
      </c>
      <c r="AV74" s="27">
        <f>AW74+AX74</f>
        <v>0</v>
      </c>
      <c r="AW74" s="27">
        <f>G74*AO74</f>
        <v>0</v>
      </c>
      <c r="AX74" s="27">
        <f>G74*AP74</f>
        <v>0</v>
      </c>
      <c r="AY74" s="28" t="s">
        <v>259</v>
      </c>
      <c r="AZ74" s="28" t="s">
        <v>238</v>
      </c>
      <c r="BA74" s="13" t="s">
        <v>65</v>
      </c>
      <c r="BC74" s="27">
        <f>AW74+AX74</f>
        <v>0</v>
      </c>
      <c r="BD74" s="27">
        <f>H74/(100-BE74)*100</f>
        <v>0</v>
      </c>
      <c r="BE74" s="27">
        <v>0</v>
      </c>
      <c r="BF74" s="27">
        <f>O74</f>
        <v>9.7350000000000006E-2</v>
      </c>
      <c r="BH74" s="27">
        <f>G74*AO74</f>
        <v>0</v>
      </c>
      <c r="BI74" s="27">
        <f>G74*AP74</f>
        <v>0</v>
      </c>
      <c r="BJ74" s="27">
        <f>G74*H74</f>
        <v>0</v>
      </c>
      <c r="BK74" s="27"/>
      <c r="BL74" s="27">
        <v>97</v>
      </c>
      <c r="BW74" s="27" t="str">
        <f>I74</f>
        <v>21</v>
      </c>
      <c r="BX74" s="3" t="s">
        <v>258</v>
      </c>
    </row>
    <row r="75" spans="1:76" ht="15" customHeight="1" x14ac:dyDescent="0.25">
      <c r="A75" s="26" t="s">
        <v>260</v>
      </c>
      <c r="B75" s="4"/>
      <c r="C75" s="4" t="s">
        <v>261</v>
      </c>
      <c r="D75" s="65" t="s">
        <v>262</v>
      </c>
      <c r="E75" s="65"/>
      <c r="F75" s="4" t="s">
        <v>71</v>
      </c>
      <c r="G75" s="27">
        <v>4</v>
      </c>
      <c r="H75" s="27">
        <v>0</v>
      </c>
      <c r="I75" s="28" t="s">
        <v>61</v>
      </c>
      <c r="J75" s="27">
        <f>G75*AO75</f>
        <v>0</v>
      </c>
      <c r="K75" s="27">
        <f>G75*AP75</f>
        <v>0</v>
      </c>
      <c r="L75" s="27">
        <f>G75*H75</f>
        <v>0</v>
      </c>
      <c r="M75" s="27">
        <f>L75*(1+BW75/100)</f>
        <v>0</v>
      </c>
      <c r="N75" s="27">
        <v>5.9370000000000006E-2</v>
      </c>
      <c r="O75" s="27">
        <f>G75*N75</f>
        <v>0.23748000000000002</v>
      </c>
      <c r="P75" s="29" t="s">
        <v>62</v>
      </c>
      <c r="Z75" s="27">
        <f>IF(AQ75="5",BJ75,0)</f>
        <v>0</v>
      </c>
      <c r="AB75" s="27">
        <f>IF(AQ75="1",BH75,0)</f>
        <v>0</v>
      </c>
      <c r="AC75" s="27">
        <f>IF(AQ75="1",BI75,0)</f>
        <v>0</v>
      </c>
      <c r="AD75" s="27">
        <f>IF(AQ75="7",BH75,0)</f>
        <v>0</v>
      </c>
      <c r="AE75" s="27">
        <f>IF(AQ75="7",BI75,0)</f>
        <v>0</v>
      </c>
      <c r="AF75" s="27">
        <f>IF(AQ75="2",BH75,0)</f>
        <v>0</v>
      </c>
      <c r="AG75" s="27">
        <f>IF(AQ75="2",BI75,0)</f>
        <v>0</v>
      </c>
      <c r="AH75" s="27">
        <f>IF(AQ75="0",BJ75,0)</f>
        <v>0</v>
      </c>
      <c r="AI75" s="13"/>
      <c r="AJ75" s="27">
        <f>IF(AN75=0,L75,0)</f>
        <v>0</v>
      </c>
      <c r="AK75" s="27">
        <f>IF(AN75=12,L75,0)</f>
        <v>0</v>
      </c>
      <c r="AL75" s="27">
        <f>IF(AN75=21,L75,0)</f>
        <v>0</v>
      </c>
      <c r="AN75" s="27">
        <v>21</v>
      </c>
      <c r="AO75" s="27">
        <f>H75*0.27545279</f>
        <v>0</v>
      </c>
      <c r="AP75" s="27">
        <f>H75*(1-0.27545279)</f>
        <v>0</v>
      </c>
      <c r="AQ75" s="28" t="s">
        <v>57</v>
      </c>
      <c r="AV75" s="27">
        <f>AW75+AX75</f>
        <v>0</v>
      </c>
      <c r="AW75" s="27">
        <f>G75*AO75</f>
        <v>0</v>
      </c>
      <c r="AX75" s="27">
        <f>G75*AP75</f>
        <v>0</v>
      </c>
      <c r="AY75" s="28" t="s">
        <v>259</v>
      </c>
      <c r="AZ75" s="28" t="s">
        <v>238</v>
      </c>
      <c r="BA75" s="13" t="s">
        <v>65</v>
      </c>
      <c r="BC75" s="27">
        <f>AW75+AX75</f>
        <v>0</v>
      </c>
      <c r="BD75" s="27">
        <f>H75/(100-BE75)*100</f>
        <v>0</v>
      </c>
      <c r="BE75" s="27">
        <v>0</v>
      </c>
      <c r="BF75" s="27">
        <f>O75</f>
        <v>0.23748000000000002</v>
      </c>
      <c r="BH75" s="27">
        <f>G75*AO75</f>
        <v>0</v>
      </c>
      <c r="BI75" s="27">
        <f>G75*AP75</f>
        <v>0</v>
      </c>
      <c r="BJ75" s="27">
        <f>G75*H75</f>
        <v>0</v>
      </c>
      <c r="BK75" s="27"/>
      <c r="BL75" s="27">
        <v>97</v>
      </c>
      <c r="BW75" s="27" t="str">
        <f>I75</f>
        <v>21</v>
      </c>
      <c r="BX75" s="3" t="s">
        <v>262</v>
      </c>
    </row>
    <row r="76" spans="1:76" ht="15" customHeight="1" x14ac:dyDescent="0.25">
      <c r="A76" s="26" t="s">
        <v>263</v>
      </c>
      <c r="B76" s="4"/>
      <c r="C76" s="4" t="s">
        <v>264</v>
      </c>
      <c r="D76" s="65" t="s">
        <v>265</v>
      </c>
      <c r="E76" s="65"/>
      <c r="F76" s="4" t="s">
        <v>71</v>
      </c>
      <c r="G76" s="27">
        <v>4</v>
      </c>
      <c r="H76" s="27">
        <v>0</v>
      </c>
      <c r="I76" s="28" t="s">
        <v>61</v>
      </c>
      <c r="J76" s="27">
        <f>G76*AO76</f>
        <v>0</v>
      </c>
      <c r="K76" s="27">
        <f>G76*AP76</f>
        <v>0</v>
      </c>
      <c r="L76" s="27">
        <f>G76*H76</f>
        <v>0</v>
      </c>
      <c r="M76" s="27">
        <f>L76*(1+BW76/100)</f>
        <v>0</v>
      </c>
      <c r="N76" s="27">
        <v>1.34E-3</v>
      </c>
      <c r="O76" s="27">
        <f>G76*N76</f>
        <v>5.3600000000000002E-3</v>
      </c>
      <c r="P76" s="29" t="s">
        <v>62</v>
      </c>
      <c r="Z76" s="27">
        <f>IF(AQ76="5",BJ76,0)</f>
        <v>0</v>
      </c>
      <c r="AB76" s="27">
        <f>IF(AQ76="1",BH76,0)</f>
        <v>0</v>
      </c>
      <c r="AC76" s="27">
        <f>IF(AQ76="1",BI76,0)</f>
        <v>0</v>
      </c>
      <c r="AD76" s="27">
        <f>IF(AQ76="7",BH76,0)</f>
        <v>0</v>
      </c>
      <c r="AE76" s="27">
        <f>IF(AQ76="7",BI76,0)</f>
        <v>0</v>
      </c>
      <c r="AF76" s="27">
        <f>IF(AQ76="2",BH76,0)</f>
        <v>0</v>
      </c>
      <c r="AG76" s="27">
        <f>IF(AQ76="2",BI76,0)</f>
        <v>0</v>
      </c>
      <c r="AH76" s="27">
        <f>IF(AQ76="0",BJ76,0)</f>
        <v>0</v>
      </c>
      <c r="AI76" s="13"/>
      <c r="AJ76" s="27">
        <f>IF(AN76=0,L76,0)</f>
        <v>0</v>
      </c>
      <c r="AK76" s="27">
        <f>IF(AN76=12,L76,0)</f>
        <v>0</v>
      </c>
      <c r="AL76" s="27">
        <f>IF(AN76=21,L76,0)</f>
        <v>0</v>
      </c>
      <c r="AN76" s="27">
        <v>21</v>
      </c>
      <c r="AO76" s="27">
        <f>H76*0.061125</f>
        <v>0</v>
      </c>
      <c r="AP76" s="27">
        <f>H76*(1-0.061125)</f>
        <v>0</v>
      </c>
      <c r="AQ76" s="28" t="s">
        <v>57</v>
      </c>
      <c r="AV76" s="27">
        <f>AW76+AX76</f>
        <v>0</v>
      </c>
      <c r="AW76" s="27">
        <f>G76*AO76</f>
        <v>0</v>
      </c>
      <c r="AX76" s="27">
        <f>G76*AP76</f>
        <v>0</v>
      </c>
      <c r="AY76" s="28" t="s">
        <v>259</v>
      </c>
      <c r="AZ76" s="28" t="s">
        <v>238</v>
      </c>
      <c r="BA76" s="13" t="s">
        <v>65</v>
      </c>
      <c r="BC76" s="27">
        <f>AW76+AX76</f>
        <v>0</v>
      </c>
      <c r="BD76" s="27">
        <f>H76/(100-BE76)*100</f>
        <v>0</v>
      </c>
      <c r="BE76" s="27">
        <v>0</v>
      </c>
      <c r="BF76" s="27">
        <f>O76</f>
        <v>5.3600000000000002E-3</v>
      </c>
      <c r="BH76" s="27">
        <f>G76*AO76</f>
        <v>0</v>
      </c>
      <c r="BI76" s="27">
        <f>G76*AP76</f>
        <v>0</v>
      </c>
      <c r="BJ76" s="27">
        <f>G76*H76</f>
        <v>0</v>
      </c>
      <c r="BK76" s="27"/>
      <c r="BL76" s="27">
        <v>97</v>
      </c>
      <c r="BW76" s="27" t="str">
        <f>I76</f>
        <v>21</v>
      </c>
      <c r="BX76" s="3" t="s">
        <v>265</v>
      </c>
    </row>
    <row r="77" spans="1:76" ht="15" customHeight="1" x14ac:dyDescent="0.25">
      <c r="A77" s="22"/>
      <c r="B77" s="23"/>
      <c r="C77" s="23" t="s">
        <v>266</v>
      </c>
      <c r="D77" s="74" t="s">
        <v>267</v>
      </c>
      <c r="E77" s="74"/>
      <c r="F77" s="24" t="s">
        <v>4</v>
      </c>
      <c r="G77" s="24" t="s">
        <v>4</v>
      </c>
      <c r="H77" s="24" t="s">
        <v>4</v>
      </c>
      <c r="I77" s="24" t="s">
        <v>4</v>
      </c>
      <c r="J77" s="2">
        <f>SUM(J78:J78)</f>
        <v>0</v>
      </c>
      <c r="K77" s="2">
        <f>SUM(K78:K78)</f>
        <v>0</v>
      </c>
      <c r="L77" s="2">
        <f>SUM(L78:L78)</f>
        <v>0</v>
      </c>
      <c r="M77" s="2">
        <f>SUM(M78:M78)</f>
        <v>0</v>
      </c>
      <c r="N77" s="13"/>
      <c r="O77" s="2">
        <f>SUM(O78:O78)</f>
        <v>0</v>
      </c>
      <c r="P77" s="25"/>
      <c r="AI77" s="13"/>
      <c r="AS77" s="2">
        <f>SUM(AJ78:AJ78)</f>
        <v>0</v>
      </c>
      <c r="AT77" s="2">
        <f>SUM(AK78:AK78)</f>
        <v>0</v>
      </c>
      <c r="AU77" s="2">
        <f>SUM(AL78:AL78)</f>
        <v>0</v>
      </c>
    </row>
    <row r="78" spans="1:76" ht="15" customHeight="1" x14ac:dyDescent="0.25">
      <c r="A78" s="26" t="s">
        <v>268</v>
      </c>
      <c r="B78" s="4"/>
      <c r="C78" s="4" t="s">
        <v>269</v>
      </c>
      <c r="D78" s="65" t="s">
        <v>270</v>
      </c>
      <c r="E78" s="65"/>
      <c r="F78" s="4" t="s">
        <v>115</v>
      </c>
      <c r="G78" s="27">
        <v>36</v>
      </c>
      <c r="H78" s="27">
        <v>0</v>
      </c>
      <c r="I78" s="28" t="s">
        <v>61</v>
      </c>
      <c r="J78" s="27">
        <f>G78*AO78</f>
        <v>0</v>
      </c>
      <c r="K78" s="27">
        <f>G78*AP78</f>
        <v>0</v>
      </c>
      <c r="L78" s="27">
        <f>G78*H78</f>
        <v>0</v>
      </c>
      <c r="M78" s="27">
        <f>L78*(1+BW78/100)</f>
        <v>0</v>
      </c>
      <c r="N78" s="27">
        <v>0</v>
      </c>
      <c r="O78" s="27">
        <f>G78*N78</f>
        <v>0</v>
      </c>
      <c r="P78" s="29" t="s">
        <v>62</v>
      </c>
      <c r="Z78" s="27">
        <f>IF(AQ78="5",BJ78,0)</f>
        <v>0</v>
      </c>
      <c r="AB78" s="27">
        <f>IF(AQ78="1",BH78,0)</f>
        <v>0</v>
      </c>
      <c r="AC78" s="27">
        <f>IF(AQ78="1",BI78,0)</f>
        <v>0</v>
      </c>
      <c r="AD78" s="27">
        <f>IF(AQ78="7",BH78,0)</f>
        <v>0</v>
      </c>
      <c r="AE78" s="27">
        <f>IF(AQ78="7",BI78,0)</f>
        <v>0</v>
      </c>
      <c r="AF78" s="27">
        <f>IF(AQ78="2",BH78,0)</f>
        <v>0</v>
      </c>
      <c r="AG78" s="27">
        <f>IF(AQ78="2",BI78,0)</f>
        <v>0</v>
      </c>
      <c r="AH78" s="27">
        <f>IF(AQ78="0",BJ78,0)</f>
        <v>0</v>
      </c>
      <c r="AI78" s="13"/>
      <c r="AJ78" s="27">
        <f>IF(AN78=0,L78,0)</f>
        <v>0</v>
      </c>
      <c r="AK78" s="27">
        <f>IF(AN78=12,L78,0)</f>
        <v>0</v>
      </c>
      <c r="AL78" s="27">
        <f>IF(AN78=21,L78,0)</f>
        <v>0</v>
      </c>
      <c r="AN78" s="27">
        <v>21</v>
      </c>
      <c r="AO78" s="27">
        <f>H78*0</f>
        <v>0</v>
      </c>
      <c r="AP78" s="27">
        <f>H78*(1-0)</f>
        <v>0</v>
      </c>
      <c r="AQ78" s="28" t="s">
        <v>86</v>
      </c>
      <c r="AV78" s="27">
        <f>AW78+AX78</f>
        <v>0</v>
      </c>
      <c r="AW78" s="27">
        <f>G78*AO78</f>
        <v>0</v>
      </c>
      <c r="AX78" s="27">
        <f>G78*AP78</f>
        <v>0</v>
      </c>
      <c r="AY78" s="28" t="s">
        <v>271</v>
      </c>
      <c r="AZ78" s="28" t="s">
        <v>238</v>
      </c>
      <c r="BA78" s="13" t="s">
        <v>65</v>
      </c>
      <c r="BC78" s="27">
        <f>AW78+AX78</f>
        <v>0</v>
      </c>
      <c r="BD78" s="27">
        <f>H78/(100-BE78)*100</f>
        <v>0</v>
      </c>
      <c r="BE78" s="27">
        <v>0</v>
      </c>
      <c r="BF78" s="27">
        <f>O78</f>
        <v>0</v>
      </c>
      <c r="BH78" s="27">
        <f>G78*AO78</f>
        <v>0</v>
      </c>
      <c r="BI78" s="27">
        <f>G78*AP78</f>
        <v>0</v>
      </c>
      <c r="BJ78" s="27">
        <f>G78*H78</f>
        <v>0</v>
      </c>
      <c r="BK78" s="27"/>
      <c r="BL78" s="27"/>
      <c r="BW78" s="27" t="str">
        <f>I78</f>
        <v>21</v>
      </c>
      <c r="BX78" s="3" t="s">
        <v>270</v>
      </c>
    </row>
    <row r="79" spans="1:76" ht="15" customHeight="1" x14ac:dyDescent="0.25">
      <c r="A79" s="22"/>
      <c r="B79" s="23"/>
      <c r="C79" s="23" t="s">
        <v>272</v>
      </c>
      <c r="D79" s="74" t="s">
        <v>135</v>
      </c>
      <c r="E79" s="74"/>
      <c r="F79" s="24" t="s">
        <v>4</v>
      </c>
      <c r="G79" s="24" t="s">
        <v>4</v>
      </c>
      <c r="H79" s="24" t="s">
        <v>4</v>
      </c>
      <c r="I79" s="24" t="s">
        <v>4</v>
      </c>
      <c r="J79" s="2">
        <f>SUM(J80:J80)</f>
        <v>0</v>
      </c>
      <c r="K79" s="2">
        <f>SUM(K80:K80)</f>
        <v>0</v>
      </c>
      <c r="L79" s="2">
        <f>SUM(L80:L80)</f>
        <v>0</v>
      </c>
      <c r="M79" s="2">
        <f>SUM(M80:M80)</f>
        <v>0</v>
      </c>
      <c r="N79" s="13"/>
      <c r="O79" s="2">
        <f>SUM(O80:O80)</f>
        <v>0</v>
      </c>
      <c r="P79" s="25"/>
      <c r="AI79" s="13"/>
      <c r="AS79" s="2">
        <f>SUM(AJ80:AJ80)</f>
        <v>0</v>
      </c>
      <c r="AT79" s="2">
        <f>SUM(AK80:AK80)</f>
        <v>0</v>
      </c>
      <c r="AU79" s="2">
        <f>SUM(AL80:AL80)</f>
        <v>0</v>
      </c>
    </row>
    <row r="80" spans="1:76" ht="15" customHeight="1" x14ac:dyDescent="0.25">
      <c r="A80" s="26" t="s">
        <v>273</v>
      </c>
      <c r="B80" s="4"/>
      <c r="C80" s="4" t="s">
        <v>274</v>
      </c>
      <c r="D80" s="65" t="s">
        <v>275</v>
      </c>
      <c r="E80" s="65"/>
      <c r="F80" s="4" t="s">
        <v>276</v>
      </c>
      <c r="G80" s="27">
        <v>0.1</v>
      </c>
      <c r="H80" s="27">
        <v>0</v>
      </c>
      <c r="I80" s="28" t="s">
        <v>61</v>
      </c>
      <c r="J80" s="27">
        <f>G80*AO80</f>
        <v>0</v>
      </c>
      <c r="K80" s="27">
        <f>G80*AP80</f>
        <v>0</v>
      </c>
      <c r="L80" s="27">
        <f>G80*H80</f>
        <v>0</v>
      </c>
      <c r="M80" s="27">
        <f>L80*(1+BW80/100)</f>
        <v>0</v>
      </c>
      <c r="N80" s="27">
        <v>0</v>
      </c>
      <c r="O80" s="27">
        <f>G80*N80</f>
        <v>0</v>
      </c>
      <c r="P80" s="29" t="s">
        <v>62</v>
      </c>
      <c r="Z80" s="27">
        <f>IF(AQ80="5",BJ80,0)</f>
        <v>0</v>
      </c>
      <c r="AB80" s="27">
        <f>IF(AQ80="1",BH80,0)</f>
        <v>0</v>
      </c>
      <c r="AC80" s="27">
        <f>IF(AQ80="1",BI80,0)</f>
        <v>0</v>
      </c>
      <c r="AD80" s="27">
        <f>IF(AQ80="7",BH80,0)</f>
        <v>0</v>
      </c>
      <c r="AE80" s="27">
        <f>IF(AQ80="7",BI80,0)</f>
        <v>0</v>
      </c>
      <c r="AF80" s="27">
        <f>IF(AQ80="2",BH80,0)</f>
        <v>0</v>
      </c>
      <c r="AG80" s="27">
        <f>IF(AQ80="2",BI80,0)</f>
        <v>0</v>
      </c>
      <c r="AH80" s="27">
        <f>IF(AQ80="0",BJ80,0)</f>
        <v>0</v>
      </c>
      <c r="AI80" s="13"/>
      <c r="AJ80" s="27">
        <f>IF(AN80=0,L80,0)</f>
        <v>0</v>
      </c>
      <c r="AK80" s="27">
        <f>IF(AN80=12,L80,0)</f>
        <v>0</v>
      </c>
      <c r="AL80" s="27">
        <f>IF(AN80=21,L80,0)</f>
        <v>0</v>
      </c>
      <c r="AN80" s="27">
        <v>21</v>
      </c>
      <c r="AO80" s="27">
        <f>H80*0</f>
        <v>0</v>
      </c>
      <c r="AP80" s="27">
        <f>H80*(1-0)</f>
        <v>0</v>
      </c>
      <c r="AQ80" s="28" t="s">
        <v>86</v>
      </c>
      <c r="AV80" s="27">
        <f>AW80+AX80</f>
        <v>0</v>
      </c>
      <c r="AW80" s="27">
        <f>G80*AO80</f>
        <v>0</v>
      </c>
      <c r="AX80" s="27">
        <f>G80*AP80</f>
        <v>0</v>
      </c>
      <c r="AY80" s="28" t="s">
        <v>277</v>
      </c>
      <c r="AZ80" s="28" t="s">
        <v>238</v>
      </c>
      <c r="BA80" s="13" t="s">
        <v>65</v>
      </c>
      <c r="BC80" s="27">
        <f>AW80+AX80</f>
        <v>0</v>
      </c>
      <c r="BD80" s="27">
        <f>H80/(100-BE80)*100</f>
        <v>0</v>
      </c>
      <c r="BE80" s="27">
        <v>0</v>
      </c>
      <c r="BF80" s="27">
        <f>O80</f>
        <v>0</v>
      </c>
      <c r="BH80" s="27">
        <f>G80*AO80</f>
        <v>0</v>
      </c>
      <c r="BI80" s="27">
        <f>G80*AP80</f>
        <v>0</v>
      </c>
      <c r="BJ80" s="27">
        <f>G80*H80</f>
        <v>0</v>
      </c>
      <c r="BK80" s="27"/>
      <c r="BL80" s="27"/>
      <c r="BW80" s="27" t="str">
        <f>I80</f>
        <v>21</v>
      </c>
      <c r="BX80" s="3" t="s">
        <v>275</v>
      </c>
    </row>
    <row r="81" spans="1:76" ht="15" customHeight="1" x14ac:dyDescent="0.25">
      <c r="A81" s="22"/>
      <c r="B81" s="23"/>
      <c r="C81" s="23" t="s">
        <v>278</v>
      </c>
      <c r="D81" s="74" t="s">
        <v>154</v>
      </c>
      <c r="E81" s="74"/>
      <c r="F81" s="24" t="s">
        <v>4</v>
      </c>
      <c r="G81" s="24" t="s">
        <v>4</v>
      </c>
      <c r="H81" s="24" t="s">
        <v>4</v>
      </c>
      <c r="I81" s="24" t="s">
        <v>4</v>
      </c>
      <c r="J81" s="2">
        <f>SUM(J82:J82)</f>
        <v>0</v>
      </c>
      <c r="K81" s="2">
        <f>SUM(K82:K82)</f>
        <v>0</v>
      </c>
      <c r="L81" s="2">
        <f>SUM(L82:L82)</f>
        <v>0</v>
      </c>
      <c r="M81" s="2">
        <f>SUM(M82:M82)</f>
        <v>0</v>
      </c>
      <c r="N81" s="13"/>
      <c r="O81" s="2">
        <f>SUM(O82:O82)</f>
        <v>0</v>
      </c>
      <c r="P81" s="25"/>
      <c r="AI81" s="13"/>
      <c r="AS81" s="2">
        <f>SUM(AJ82:AJ82)</f>
        <v>0</v>
      </c>
      <c r="AT81" s="2">
        <f>SUM(AK82:AK82)</f>
        <v>0</v>
      </c>
      <c r="AU81" s="2">
        <f>SUM(AL82:AL82)</f>
        <v>0</v>
      </c>
    </row>
    <row r="82" spans="1:76" ht="15" customHeight="1" x14ac:dyDescent="0.25">
      <c r="A82" s="26" t="s">
        <v>279</v>
      </c>
      <c r="B82" s="4"/>
      <c r="C82" s="4" t="s">
        <v>280</v>
      </c>
      <c r="D82" s="65" t="s">
        <v>281</v>
      </c>
      <c r="E82" s="65"/>
      <c r="F82" s="4" t="s">
        <v>115</v>
      </c>
      <c r="G82" s="27">
        <v>0.1</v>
      </c>
      <c r="H82" s="27">
        <v>0</v>
      </c>
      <c r="I82" s="28" t="s">
        <v>61</v>
      </c>
      <c r="J82" s="27">
        <f>G82*AO82</f>
        <v>0</v>
      </c>
      <c r="K82" s="27">
        <f>G82*AP82</f>
        <v>0</v>
      </c>
      <c r="L82" s="27">
        <f>G82*H82</f>
        <v>0</v>
      </c>
      <c r="M82" s="27">
        <f>L82*(1+BW82/100)</f>
        <v>0</v>
      </c>
      <c r="N82" s="27">
        <v>0</v>
      </c>
      <c r="O82" s="27">
        <f>G82*N82</f>
        <v>0</v>
      </c>
      <c r="P82" s="29" t="s">
        <v>62</v>
      </c>
      <c r="Z82" s="27">
        <f>IF(AQ82="5",BJ82,0)</f>
        <v>0</v>
      </c>
      <c r="AB82" s="27">
        <f>IF(AQ82="1",BH82,0)</f>
        <v>0</v>
      </c>
      <c r="AC82" s="27">
        <f>IF(AQ82="1",BI82,0)</f>
        <v>0</v>
      </c>
      <c r="AD82" s="27">
        <f>IF(AQ82="7",BH82,0)</f>
        <v>0</v>
      </c>
      <c r="AE82" s="27">
        <f>IF(AQ82="7",BI82,0)</f>
        <v>0</v>
      </c>
      <c r="AF82" s="27">
        <f>IF(AQ82="2",BH82,0)</f>
        <v>0</v>
      </c>
      <c r="AG82" s="27">
        <f>IF(AQ82="2",BI82,0)</f>
        <v>0</v>
      </c>
      <c r="AH82" s="27">
        <f>IF(AQ82="0",BJ82,0)</f>
        <v>0</v>
      </c>
      <c r="AI82" s="13"/>
      <c r="AJ82" s="27">
        <f>IF(AN82=0,L82,0)</f>
        <v>0</v>
      </c>
      <c r="AK82" s="27">
        <f>IF(AN82=12,L82,0)</f>
        <v>0</v>
      </c>
      <c r="AL82" s="27">
        <f>IF(AN82=21,L82,0)</f>
        <v>0</v>
      </c>
      <c r="AN82" s="27">
        <v>21</v>
      </c>
      <c r="AO82" s="27">
        <f>H82*0</f>
        <v>0</v>
      </c>
      <c r="AP82" s="27">
        <f>H82*(1-0)</f>
        <v>0</v>
      </c>
      <c r="AQ82" s="28" t="s">
        <v>86</v>
      </c>
      <c r="AV82" s="27">
        <f>AW82+AX82</f>
        <v>0</v>
      </c>
      <c r="AW82" s="27">
        <f>G82*AO82</f>
        <v>0</v>
      </c>
      <c r="AX82" s="27">
        <f>G82*AP82</f>
        <v>0</v>
      </c>
      <c r="AY82" s="28" t="s">
        <v>282</v>
      </c>
      <c r="AZ82" s="28" t="s">
        <v>238</v>
      </c>
      <c r="BA82" s="13" t="s">
        <v>65</v>
      </c>
      <c r="BC82" s="27">
        <f>AW82+AX82</f>
        <v>0</v>
      </c>
      <c r="BD82" s="27">
        <f>H82/(100-BE82)*100</f>
        <v>0</v>
      </c>
      <c r="BE82" s="27">
        <v>0</v>
      </c>
      <c r="BF82" s="27">
        <f>O82</f>
        <v>0</v>
      </c>
      <c r="BH82" s="27">
        <f>G82*AO82</f>
        <v>0</v>
      </c>
      <c r="BI82" s="27">
        <f>G82*AP82</f>
        <v>0</v>
      </c>
      <c r="BJ82" s="27">
        <f>G82*H82</f>
        <v>0</v>
      </c>
      <c r="BK82" s="27"/>
      <c r="BL82" s="27"/>
      <c r="BW82" s="27" t="str">
        <f>I82</f>
        <v>21</v>
      </c>
      <c r="BX82" s="3" t="s">
        <v>281</v>
      </c>
    </row>
    <row r="83" spans="1:76" ht="15" customHeight="1" x14ac:dyDescent="0.25">
      <c r="A83" s="22"/>
      <c r="B83" s="23"/>
      <c r="C83" s="23" t="s">
        <v>283</v>
      </c>
      <c r="D83" s="74" t="s">
        <v>284</v>
      </c>
      <c r="E83" s="74"/>
      <c r="F83" s="24" t="s">
        <v>4</v>
      </c>
      <c r="G83" s="24" t="s">
        <v>4</v>
      </c>
      <c r="H83" s="24" t="s">
        <v>4</v>
      </c>
      <c r="I83" s="24" t="s">
        <v>4</v>
      </c>
      <c r="J83" s="2">
        <f>SUM(J84:J84)</f>
        <v>0</v>
      </c>
      <c r="K83" s="2">
        <f>SUM(K84:K84)</f>
        <v>0</v>
      </c>
      <c r="L83" s="2">
        <f>SUM(L84:L84)</f>
        <v>0</v>
      </c>
      <c r="M83" s="2">
        <f>SUM(M84:M84)</f>
        <v>0</v>
      </c>
      <c r="N83" s="13"/>
      <c r="O83" s="2">
        <f>SUM(O84:O84)</f>
        <v>6.000000000000001E-3</v>
      </c>
      <c r="P83" s="25"/>
      <c r="AI83" s="13"/>
      <c r="AS83" s="2">
        <f>SUM(AJ84:AJ84)</f>
        <v>0</v>
      </c>
      <c r="AT83" s="2">
        <f>SUM(AK84:AK84)</f>
        <v>0</v>
      </c>
      <c r="AU83" s="2">
        <f>SUM(AL84:AL84)</f>
        <v>0</v>
      </c>
    </row>
    <row r="84" spans="1:76" ht="15" customHeight="1" x14ac:dyDescent="0.25">
      <c r="A84" s="26" t="s">
        <v>285</v>
      </c>
      <c r="B84" s="4"/>
      <c r="C84" s="4" t="s">
        <v>286</v>
      </c>
      <c r="D84" s="65" t="s">
        <v>287</v>
      </c>
      <c r="E84" s="65"/>
      <c r="F84" s="4" t="s">
        <v>71</v>
      </c>
      <c r="G84" s="27">
        <v>50</v>
      </c>
      <c r="H84" s="27">
        <v>0</v>
      </c>
      <c r="I84" s="28" t="s">
        <v>61</v>
      </c>
      <c r="J84" s="27">
        <f>G84*AO84</f>
        <v>0</v>
      </c>
      <c r="K84" s="27">
        <f>G84*AP84</f>
        <v>0</v>
      </c>
      <c r="L84" s="27">
        <f>G84*H84</f>
        <v>0</v>
      </c>
      <c r="M84" s="27">
        <f>L84*(1+BW84/100)</f>
        <v>0</v>
      </c>
      <c r="N84" s="27">
        <v>1.2000000000000002E-4</v>
      </c>
      <c r="O84" s="27">
        <f>G84*N84</f>
        <v>6.000000000000001E-3</v>
      </c>
      <c r="P84" s="29" t="s">
        <v>62</v>
      </c>
      <c r="Z84" s="27">
        <f>IF(AQ84="5",BJ84,0)</f>
        <v>0</v>
      </c>
      <c r="AB84" s="27">
        <f>IF(AQ84="1",BH84,0)</f>
        <v>0</v>
      </c>
      <c r="AC84" s="27">
        <f>IF(AQ84="1",BI84,0)</f>
        <v>0</v>
      </c>
      <c r="AD84" s="27">
        <f>IF(AQ84="7",BH84,0)</f>
        <v>0</v>
      </c>
      <c r="AE84" s="27">
        <f>IF(AQ84="7",BI84,0)</f>
        <v>0</v>
      </c>
      <c r="AF84" s="27">
        <f>IF(AQ84="2",BH84,0)</f>
        <v>0</v>
      </c>
      <c r="AG84" s="27">
        <f>IF(AQ84="2",BI84,0)</f>
        <v>0</v>
      </c>
      <c r="AH84" s="27">
        <f>IF(AQ84="0",BJ84,0)</f>
        <v>0</v>
      </c>
      <c r="AI84" s="13"/>
      <c r="AJ84" s="27">
        <f>IF(AN84=0,L84,0)</f>
        <v>0</v>
      </c>
      <c r="AK84" s="27">
        <f>IF(AN84=12,L84,0)</f>
        <v>0</v>
      </c>
      <c r="AL84" s="27">
        <f>IF(AN84=21,L84,0)</f>
        <v>0</v>
      </c>
      <c r="AN84" s="27">
        <v>21</v>
      </c>
      <c r="AO84" s="27">
        <f>H84*0.294050992</f>
        <v>0</v>
      </c>
      <c r="AP84" s="27">
        <f>H84*(1-0.294050992)</f>
        <v>0</v>
      </c>
      <c r="AQ84" s="28" t="s">
        <v>68</v>
      </c>
      <c r="AV84" s="27">
        <f>AW84+AX84</f>
        <v>0</v>
      </c>
      <c r="AW84" s="27">
        <f>G84*AO84</f>
        <v>0</v>
      </c>
      <c r="AX84" s="27">
        <f>G84*AP84</f>
        <v>0</v>
      </c>
      <c r="AY84" s="28" t="s">
        <v>288</v>
      </c>
      <c r="AZ84" s="28" t="s">
        <v>238</v>
      </c>
      <c r="BA84" s="13" t="s">
        <v>65</v>
      </c>
      <c r="BC84" s="27">
        <f>AW84+AX84</f>
        <v>0</v>
      </c>
      <c r="BD84" s="27">
        <f>H84/(100-BE84)*100</f>
        <v>0</v>
      </c>
      <c r="BE84" s="27">
        <v>0</v>
      </c>
      <c r="BF84" s="27">
        <f>O84</f>
        <v>6.000000000000001E-3</v>
      </c>
      <c r="BH84" s="27">
        <f>G84*AO84</f>
        <v>0</v>
      </c>
      <c r="BI84" s="27">
        <f>G84*AP84</f>
        <v>0</v>
      </c>
      <c r="BJ84" s="27">
        <f>G84*H84</f>
        <v>0</v>
      </c>
      <c r="BK84" s="27"/>
      <c r="BL84" s="27"/>
      <c r="BW84" s="27" t="str">
        <f>I84</f>
        <v>21</v>
      </c>
      <c r="BX84" s="3" t="s">
        <v>287</v>
      </c>
    </row>
    <row r="85" spans="1:76" ht="15" customHeight="1" x14ac:dyDescent="0.25">
      <c r="A85" s="22"/>
      <c r="B85" s="23"/>
      <c r="C85" s="23" t="s">
        <v>289</v>
      </c>
      <c r="D85" s="74" t="s">
        <v>290</v>
      </c>
      <c r="E85" s="74"/>
      <c r="F85" s="24" t="s">
        <v>4</v>
      </c>
      <c r="G85" s="24" t="s">
        <v>4</v>
      </c>
      <c r="H85" s="24" t="s">
        <v>4</v>
      </c>
      <c r="I85" s="24" t="s">
        <v>4</v>
      </c>
      <c r="J85" s="2">
        <f>SUM(J86:J90)</f>
        <v>0</v>
      </c>
      <c r="K85" s="2">
        <f>SUM(K86:K90)</f>
        <v>0</v>
      </c>
      <c r="L85" s="2">
        <f>SUM(L86:L90)</f>
        <v>0</v>
      </c>
      <c r="M85" s="2">
        <f>SUM(M86:M90)</f>
        <v>0</v>
      </c>
      <c r="N85" s="13"/>
      <c r="O85" s="2">
        <f>SUM(O86:O90)</f>
        <v>0</v>
      </c>
      <c r="P85" s="25"/>
      <c r="AI85" s="13"/>
      <c r="AS85" s="2">
        <f>SUM(AJ86:AJ90)</f>
        <v>0</v>
      </c>
      <c r="AT85" s="2">
        <f>SUM(AK86:AK90)</f>
        <v>0</v>
      </c>
      <c r="AU85" s="2">
        <f>SUM(AL86:AL90)</f>
        <v>0</v>
      </c>
    </row>
    <row r="86" spans="1:76" ht="15" customHeight="1" x14ac:dyDescent="0.25">
      <c r="A86" s="26" t="s">
        <v>291</v>
      </c>
      <c r="B86" s="4"/>
      <c r="C86" s="4" t="s">
        <v>292</v>
      </c>
      <c r="D86" s="65" t="s">
        <v>293</v>
      </c>
      <c r="E86" s="65"/>
      <c r="F86" s="4" t="s">
        <v>71</v>
      </c>
      <c r="G86" s="27">
        <v>50</v>
      </c>
      <c r="H86" s="27">
        <v>0</v>
      </c>
      <c r="I86" s="28" t="s">
        <v>61</v>
      </c>
      <c r="J86" s="27">
        <f>G86*AO86</f>
        <v>0</v>
      </c>
      <c r="K86" s="27">
        <f>G86*AP86</f>
        <v>0</v>
      </c>
      <c r="L86" s="27">
        <f>G86*H86</f>
        <v>0</v>
      </c>
      <c r="M86" s="27">
        <f>L86*(1+BW86/100)</f>
        <v>0</v>
      </c>
      <c r="N86" s="27">
        <v>0</v>
      </c>
      <c r="O86" s="27">
        <f>G86*N86</f>
        <v>0</v>
      </c>
      <c r="P86" s="29" t="s">
        <v>62</v>
      </c>
      <c r="Z86" s="27">
        <f>IF(AQ86="5",BJ86,0)</f>
        <v>0</v>
      </c>
      <c r="AB86" s="27">
        <f>IF(AQ86="1",BH86,0)</f>
        <v>0</v>
      </c>
      <c r="AC86" s="27">
        <f>IF(AQ86="1",BI86,0)</f>
        <v>0</v>
      </c>
      <c r="AD86" s="27">
        <f>IF(AQ86="7",BH86,0)</f>
        <v>0</v>
      </c>
      <c r="AE86" s="27">
        <f>IF(AQ86="7",BI86,0)</f>
        <v>0</v>
      </c>
      <c r="AF86" s="27">
        <f>IF(AQ86="2",BH86,0)</f>
        <v>0</v>
      </c>
      <c r="AG86" s="27">
        <f>IF(AQ86="2",BI86,0)</f>
        <v>0</v>
      </c>
      <c r="AH86" s="27">
        <f>IF(AQ86="0",BJ86,0)</f>
        <v>0</v>
      </c>
      <c r="AI86" s="13"/>
      <c r="AJ86" s="27">
        <f>IF(AN86=0,L86,0)</f>
        <v>0</v>
      </c>
      <c r="AK86" s="27">
        <f>IF(AN86=12,L86,0)</f>
        <v>0</v>
      </c>
      <c r="AL86" s="27">
        <f>IF(AN86=21,L86,0)</f>
        <v>0</v>
      </c>
      <c r="AN86" s="27">
        <v>21</v>
      </c>
      <c r="AO86" s="27">
        <f>H86*0.743310208</f>
        <v>0</v>
      </c>
      <c r="AP86" s="27">
        <f>H86*(1-0.743310208)</f>
        <v>0</v>
      </c>
      <c r="AQ86" s="28" t="s">
        <v>68</v>
      </c>
      <c r="AV86" s="27">
        <f>AW86+AX86</f>
        <v>0</v>
      </c>
      <c r="AW86" s="27">
        <f>G86*AO86</f>
        <v>0</v>
      </c>
      <c r="AX86" s="27">
        <f>G86*AP86</f>
        <v>0</v>
      </c>
      <c r="AY86" s="28" t="s">
        <v>294</v>
      </c>
      <c r="AZ86" s="28" t="s">
        <v>238</v>
      </c>
      <c r="BA86" s="13" t="s">
        <v>65</v>
      </c>
      <c r="BC86" s="27">
        <f>AW86+AX86</f>
        <v>0</v>
      </c>
      <c r="BD86" s="27">
        <f>H86/(100-BE86)*100</f>
        <v>0</v>
      </c>
      <c r="BE86" s="27">
        <v>0</v>
      </c>
      <c r="BF86" s="27">
        <f>O86</f>
        <v>0</v>
      </c>
      <c r="BH86" s="27">
        <f>G86*AO86</f>
        <v>0</v>
      </c>
      <c r="BI86" s="27">
        <f>G86*AP86</f>
        <v>0</v>
      </c>
      <c r="BJ86" s="27">
        <f>G86*H86</f>
        <v>0</v>
      </c>
      <c r="BK86" s="27"/>
      <c r="BL86" s="27"/>
      <c r="BW86" s="27" t="str">
        <f>I86</f>
        <v>21</v>
      </c>
      <c r="BX86" s="3" t="s">
        <v>293</v>
      </c>
    </row>
    <row r="87" spans="1:76" ht="15" customHeight="1" x14ac:dyDescent="0.25">
      <c r="A87" s="26" t="s">
        <v>295</v>
      </c>
      <c r="B87" s="4"/>
      <c r="C87" s="4" t="s">
        <v>296</v>
      </c>
      <c r="D87" s="65" t="s">
        <v>297</v>
      </c>
      <c r="E87" s="65"/>
      <c r="F87" s="4" t="s">
        <v>175</v>
      </c>
      <c r="G87" s="27">
        <v>1</v>
      </c>
      <c r="H87" s="27">
        <v>0</v>
      </c>
      <c r="I87" s="28" t="s">
        <v>61</v>
      </c>
      <c r="J87" s="27">
        <f>G87*AO87</f>
        <v>0</v>
      </c>
      <c r="K87" s="27">
        <f>G87*AP87</f>
        <v>0</v>
      </c>
      <c r="L87" s="27">
        <f>G87*H87</f>
        <v>0</v>
      </c>
      <c r="M87" s="27">
        <f>L87*(1+BW87/100)</f>
        <v>0</v>
      </c>
      <c r="N87" s="27">
        <v>0</v>
      </c>
      <c r="O87" s="27">
        <f>G87*N87</f>
        <v>0</v>
      </c>
      <c r="P87" s="29" t="s">
        <v>62</v>
      </c>
      <c r="Z87" s="27">
        <f>IF(AQ87="5",BJ87,0)</f>
        <v>0</v>
      </c>
      <c r="AB87" s="27">
        <f>IF(AQ87="1",BH87,0)</f>
        <v>0</v>
      </c>
      <c r="AC87" s="27">
        <f>IF(AQ87="1",BI87,0)</f>
        <v>0</v>
      </c>
      <c r="AD87" s="27">
        <f>IF(AQ87="7",BH87,0)</f>
        <v>0</v>
      </c>
      <c r="AE87" s="27">
        <f>IF(AQ87="7",BI87,0)</f>
        <v>0</v>
      </c>
      <c r="AF87" s="27">
        <f>IF(AQ87="2",BH87,0)</f>
        <v>0</v>
      </c>
      <c r="AG87" s="27">
        <f>IF(AQ87="2",BI87,0)</f>
        <v>0</v>
      </c>
      <c r="AH87" s="27">
        <f>IF(AQ87="0",BJ87,0)</f>
        <v>0</v>
      </c>
      <c r="AI87" s="13"/>
      <c r="AJ87" s="27">
        <f>IF(AN87=0,L87,0)</f>
        <v>0</v>
      </c>
      <c r="AK87" s="27">
        <f>IF(AN87=12,L87,0)</f>
        <v>0</v>
      </c>
      <c r="AL87" s="27">
        <f>IF(AN87=21,L87,0)</f>
        <v>0</v>
      </c>
      <c r="AN87" s="27">
        <v>21</v>
      </c>
      <c r="AO87" s="27">
        <f>H87*0</f>
        <v>0</v>
      </c>
      <c r="AP87" s="27">
        <f>H87*(1-0)</f>
        <v>0</v>
      </c>
      <c r="AQ87" s="28" t="s">
        <v>68</v>
      </c>
      <c r="AV87" s="27">
        <f>AW87+AX87</f>
        <v>0</v>
      </c>
      <c r="AW87" s="27">
        <f>G87*AO87</f>
        <v>0</v>
      </c>
      <c r="AX87" s="27">
        <f>G87*AP87</f>
        <v>0</v>
      </c>
      <c r="AY87" s="28" t="s">
        <v>294</v>
      </c>
      <c r="AZ87" s="28" t="s">
        <v>238</v>
      </c>
      <c r="BA87" s="13" t="s">
        <v>65</v>
      </c>
      <c r="BC87" s="27">
        <f>AW87+AX87</f>
        <v>0</v>
      </c>
      <c r="BD87" s="27">
        <f>H87/(100-BE87)*100</f>
        <v>0</v>
      </c>
      <c r="BE87" s="27">
        <v>0</v>
      </c>
      <c r="BF87" s="27">
        <f>O87</f>
        <v>0</v>
      </c>
      <c r="BH87" s="27">
        <f>G87*AO87</f>
        <v>0</v>
      </c>
      <c r="BI87" s="27">
        <f>G87*AP87</f>
        <v>0</v>
      </c>
      <c r="BJ87" s="27">
        <f>G87*H87</f>
        <v>0</v>
      </c>
      <c r="BK87" s="27"/>
      <c r="BL87" s="27"/>
      <c r="BW87" s="27" t="str">
        <f>I87</f>
        <v>21</v>
      </c>
      <c r="BX87" s="3" t="s">
        <v>297</v>
      </c>
    </row>
    <row r="88" spans="1:76" ht="15" customHeight="1" x14ac:dyDescent="0.25">
      <c r="A88" s="26" t="s">
        <v>298</v>
      </c>
      <c r="B88" s="4"/>
      <c r="C88" s="4" t="s">
        <v>299</v>
      </c>
      <c r="D88" s="65" t="s">
        <v>300</v>
      </c>
      <c r="E88" s="65"/>
      <c r="F88" s="4" t="s">
        <v>175</v>
      </c>
      <c r="G88" s="27">
        <v>2</v>
      </c>
      <c r="H88" s="27">
        <v>0</v>
      </c>
      <c r="I88" s="28" t="s">
        <v>61</v>
      </c>
      <c r="J88" s="27">
        <f>G88*AO88</f>
        <v>0</v>
      </c>
      <c r="K88" s="27">
        <f>G88*AP88</f>
        <v>0</v>
      </c>
      <c r="L88" s="27">
        <f>G88*H88</f>
        <v>0</v>
      </c>
      <c r="M88" s="27">
        <f>L88*(1+BW88/100)</f>
        <v>0</v>
      </c>
      <c r="N88" s="27">
        <v>0</v>
      </c>
      <c r="O88" s="27">
        <f>G88*N88</f>
        <v>0</v>
      </c>
      <c r="P88" s="29" t="s">
        <v>62</v>
      </c>
      <c r="Z88" s="27">
        <f>IF(AQ88="5",BJ88,0)</f>
        <v>0</v>
      </c>
      <c r="AB88" s="27">
        <f>IF(AQ88="1",BH88,0)</f>
        <v>0</v>
      </c>
      <c r="AC88" s="27">
        <f>IF(AQ88="1",BI88,0)</f>
        <v>0</v>
      </c>
      <c r="AD88" s="27">
        <f>IF(AQ88="7",BH88,0)</f>
        <v>0</v>
      </c>
      <c r="AE88" s="27">
        <f>IF(AQ88="7",BI88,0)</f>
        <v>0</v>
      </c>
      <c r="AF88" s="27">
        <f>IF(AQ88="2",BH88,0)</f>
        <v>0</v>
      </c>
      <c r="AG88" s="27">
        <f>IF(AQ88="2",BI88,0)</f>
        <v>0</v>
      </c>
      <c r="AH88" s="27">
        <f>IF(AQ88="0",BJ88,0)</f>
        <v>0</v>
      </c>
      <c r="AI88" s="13"/>
      <c r="AJ88" s="27">
        <f>IF(AN88=0,L88,0)</f>
        <v>0</v>
      </c>
      <c r="AK88" s="27">
        <f>IF(AN88=12,L88,0)</f>
        <v>0</v>
      </c>
      <c r="AL88" s="27">
        <f>IF(AN88=21,L88,0)</f>
        <v>0</v>
      </c>
      <c r="AN88" s="27">
        <v>21</v>
      </c>
      <c r="AO88" s="27">
        <f>H88*0</f>
        <v>0</v>
      </c>
      <c r="AP88" s="27">
        <f>H88*(1-0)</f>
        <v>0</v>
      </c>
      <c r="AQ88" s="28" t="s">
        <v>68</v>
      </c>
      <c r="AV88" s="27">
        <f>AW88+AX88</f>
        <v>0</v>
      </c>
      <c r="AW88" s="27">
        <f>G88*AO88</f>
        <v>0</v>
      </c>
      <c r="AX88" s="27">
        <f>G88*AP88</f>
        <v>0</v>
      </c>
      <c r="AY88" s="28" t="s">
        <v>294</v>
      </c>
      <c r="AZ88" s="28" t="s">
        <v>238</v>
      </c>
      <c r="BA88" s="13" t="s">
        <v>65</v>
      </c>
      <c r="BC88" s="27">
        <f>AW88+AX88</f>
        <v>0</v>
      </c>
      <c r="BD88" s="27">
        <f>H88/(100-BE88)*100</f>
        <v>0</v>
      </c>
      <c r="BE88" s="27">
        <v>0</v>
      </c>
      <c r="BF88" s="27">
        <f>O88</f>
        <v>0</v>
      </c>
      <c r="BH88" s="27">
        <f>G88*AO88</f>
        <v>0</v>
      </c>
      <c r="BI88" s="27">
        <f>G88*AP88</f>
        <v>0</v>
      </c>
      <c r="BJ88" s="27">
        <f>G88*H88</f>
        <v>0</v>
      </c>
      <c r="BK88" s="27"/>
      <c r="BL88" s="27"/>
      <c r="BW88" s="27" t="str">
        <f>I88</f>
        <v>21</v>
      </c>
      <c r="BX88" s="3" t="s">
        <v>300</v>
      </c>
    </row>
    <row r="89" spans="1:76" ht="15" customHeight="1" x14ac:dyDescent="0.25">
      <c r="A89" s="26" t="s">
        <v>84</v>
      </c>
      <c r="B89" s="4"/>
      <c r="C89" s="4" t="s">
        <v>301</v>
      </c>
      <c r="D89" s="65" t="s">
        <v>302</v>
      </c>
      <c r="E89" s="65"/>
      <c r="F89" s="4" t="s">
        <v>175</v>
      </c>
      <c r="G89" s="27">
        <v>2</v>
      </c>
      <c r="H89" s="27">
        <v>0</v>
      </c>
      <c r="I89" s="28" t="s">
        <v>61</v>
      </c>
      <c r="J89" s="27">
        <f>G89*AO89</f>
        <v>0</v>
      </c>
      <c r="K89" s="27">
        <f>G89*AP89</f>
        <v>0</v>
      </c>
      <c r="L89" s="27">
        <f>G89*H89</f>
        <v>0</v>
      </c>
      <c r="M89" s="27">
        <f>L89*(1+BW89/100)</f>
        <v>0</v>
      </c>
      <c r="N89" s="27">
        <v>0</v>
      </c>
      <c r="O89" s="27">
        <f>G89*N89</f>
        <v>0</v>
      </c>
      <c r="P89" s="29" t="s">
        <v>62</v>
      </c>
      <c r="Z89" s="27">
        <f>IF(AQ89="5",BJ89,0)</f>
        <v>0</v>
      </c>
      <c r="AB89" s="27">
        <f>IF(AQ89="1",BH89,0)</f>
        <v>0</v>
      </c>
      <c r="AC89" s="27">
        <f>IF(AQ89="1",BI89,0)</f>
        <v>0</v>
      </c>
      <c r="AD89" s="27">
        <f>IF(AQ89="7",BH89,0)</f>
        <v>0</v>
      </c>
      <c r="AE89" s="27">
        <f>IF(AQ89="7",BI89,0)</f>
        <v>0</v>
      </c>
      <c r="AF89" s="27">
        <f>IF(AQ89="2",BH89,0)</f>
        <v>0</v>
      </c>
      <c r="AG89" s="27">
        <f>IF(AQ89="2",BI89,0)</f>
        <v>0</v>
      </c>
      <c r="AH89" s="27">
        <f>IF(AQ89="0",BJ89,0)</f>
        <v>0</v>
      </c>
      <c r="AI89" s="13"/>
      <c r="AJ89" s="27">
        <f>IF(AN89=0,L89,0)</f>
        <v>0</v>
      </c>
      <c r="AK89" s="27">
        <f>IF(AN89=12,L89,0)</f>
        <v>0</v>
      </c>
      <c r="AL89" s="27">
        <f>IF(AN89=21,L89,0)</f>
        <v>0</v>
      </c>
      <c r="AN89" s="27">
        <v>21</v>
      </c>
      <c r="AO89" s="27">
        <f>H89*0</f>
        <v>0</v>
      </c>
      <c r="AP89" s="27">
        <f>H89*(1-0)</f>
        <v>0</v>
      </c>
      <c r="AQ89" s="28" t="s">
        <v>68</v>
      </c>
      <c r="AV89" s="27">
        <f>AW89+AX89</f>
        <v>0</v>
      </c>
      <c r="AW89" s="27">
        <f>G89*AO89</f>
        <v>0</v>
      </c>
      <c r="AX89" s="27">
        <f>G89*AP89</f>
        <v>0</v>
      </c>
      <c r="AY89" s="28" t="s">
        <v>294</v>
      </c>
      <c r="AZ89" s="28" t="s">
        <v>238</v>
      </c>
      <c r="BA89" s="13" t="s">
        <v>65</v>
      </c>
      <c r="BC89" s="27">
        <f>AW89+AX89</f>
        <v>0</v>
      </c>
      <c r="BD89" s="27">
        <f>H89/(100-BE89)*100</f>
        <v>0</v>
      </c>
      <c r="BE89" s="27">
        <v>0</v>
      </c>
      <c r="BF89" s="27">
        <f>O89</f>
        <v>0</v>
      </c>
      <c r="BH89" s="27">
        <f>G89*AO89</f>
        <v>0</v>
      </c>
      <c r="BI89" s="27">
        <f>G89*AP89</f>
        <v>0</v>
      </c>
      <c r="BJ89" s="27">
        <f>G89*H89</f>
        <v>0</v>
      </c>
      <c r="BK89" s="27"/>
      <c r="BL89" s="27"/>
      <c r="BW89" s="27" t="str">
        <f>I89</f>
        <v>21</v>
      </c>
      <c r="BX89" s="3" t="s">
        <v>302</v>
      </c>
    </row>
    <row r="90" spans="1:76" ht="15" customHeight="1" x14ac:dyDescent="0.25">
      <c r="A90" s="26" t="s">
        <v>303</v>
      </c>
      <c r="B90" s="4"/>
      <c r="C90" s="4" t="s">
        <v>304</v>
      </c>
      <c r="D90" s="65" t="s">
        <v>305</v>
      </c>
      <c r="E90" s="65"/>
      <c r="F90" s="4" t="s">
        <v>175</v>
      </c>
      <c r="G90" s="27">
        <v>2</v>
      </c>
      <c r="H90" s="27">
        <v>0</v>
      </c>
      <c r="I90" s="28" t="s">
        <v>61</v>
      </c>
      <c r="J90" s="27">
        <f>G90*AO90</f>
        <v>0</v>
      </c>
      <c r="K90" s="27">
        <f>G90*AP90</f>
        <v>0</v>
      </c>
      <c r="L90" s="27">
        <f>G90*H90</f>
        <v>0</v>
      </c>
      <c r="M90" s="27">
        <f>L90*(1+BW90/100)</f>
        <v>0</v>
      </c>
      <c r="N90" s="27">
        <v>0</v>
      </c>
      <c r="O90" s="27">
        <f>G90*N90</f>
        <v>0</v>
      </c>
      <c r="P90" s="29" t="s">
        <v>62</v>
      </c>
      <c r="Z90" s="27">
        <f>IF(AQ90="5",BJ90,0)</f>
        <v>0</v>
      </c>
      <c r="AB90" s="27">
        <f>IF(AQ90="1",BH90,0)</f>
        <v>0</v>
      </c>
      <c r="AC90" s="27">
        <f>IF(AQ90="1",BI90,0)</f>
        <v>0</v>
      </c>
      <c r="AD90" s="27">
        <f>IF(AQ90="7",BH90,0)</f>
        <v>0</v>
      </c>
      <c r="AE90" s="27">
        <f>IF(AQ90="7",BI90,0)</f>
        <v>0</v>
      </c>
      <c r="AF90" s="27">
        <f>IF(AQ90="2",BH90,0)</f>
        <v>0</v>
      </c>
      <c r="AG90" s="27">
        <f>IF(AQ90="2",BI90,0)</f>
        <v>0</v>
      </c>
      <c r="AH90" s="27">
        <f>IF(AQ90="0",BJ90,0)</f>
        <v>0</v>
      </c>
      <c r="AI90" s="13"/>
      <c r="AJ90" s="27">
        <f>IF(AN90=0,L90,0)</f>
        <v>0</v>
      </c>
      <c r="AK90" s="27">
        <f>IF(AN90=12,L90,0)</f>
        <v>0</v>
      </c>
      <c r="AL90" s="27">
        <f>IF(AN90=21,L90,0)</f>
        <v>0</v>
      </c>
      <c r="AN90" s="27">
        <v>21</v>
      </c>
      <c r="AO90" s="27">
        <f>H90*0.425431214</f>
        <v>0</v>
      </c>
      <c r="AP90" s="27">
        <f>H90*(1-0.425431214)</f>
        <v>0</v>
      </c>
      <c r="AQ90" s="28" t="s">
        <v>68</v>
      </c>
      <c r="AV90" s="27">
        <f>AW90+AX90</f>
        <v>0</v>
      </c>
      <c r="AW90" s="27">
        <f>G90*AO90</f>
        <v>0</v>
      </c>
      <c r="AX90" s="27">
        <f>G90*AP90</f>
        <v>0</v>
      </c>
      <c r="AY90" s="28" t="s">
        <v>294</v>
      </c>
      <c r="AZ90" s="28" t="s">
        <v>238</v>
      </c>
      <c r="BA90" s="13" t="s">
        <v>65</v>
      </c>
      <c r="BC90" s="27">
        <f>AW90+AX90</f>
        <v>0</v>
      </c>
      <c r="BD90" s="27">
        <f>H90/(100-BE90)*100</f>
        <v>0</v>
      </c>
      <c r="BE90" s="27">
        <v>0</v>
      </c>
      <c r="BF90" s="27">
        <f>O90</f>
        <v>0</v>
      </c>
      <c r="BH90" s="27">
        <f>G90*AO90</f>
        <v>0</v>
      </c>
      <c r="BI90" s="27">
        <f>G90*AP90</f>
        <v>0</v>
      </c>
      <c r="BJ90" s="27">
        <f>G90*H90</f>
        <v>0</v>
      </c>
      <c r="BK90" s="27"/>
      <c r="BL90" s="27"/>
      <c r="BW90" s="27" t="str">
        <f>I90</f>
        <v>21</v>
      </c>
      <c r="BX90" s="3" t="s">
        <v>305</v>
      </c>
    </row>
    <row r="91" spans="1:76" ht="15" customHeight="1" x14ac:dyDescent="0.25">
      <c r="A91" s="22"/>
      <c r="B91" s="23"/>
      <c r="C91" s="23" t="s">
        <v>306</v>
      </c>
      <c r="D91" s="74" t="s">
        <v>307</v>
      </c>
      <c r="E91" s="74"/>
      <c r="F91" s="24" t="s">
        <v>4</v>
      </c>
      <c r="G91" s="24" t="s">
        <v>4</v>
      </c>
      <c r="H91" s="24" t="s">
        <v>4</v>
      </c>
      <c r="I91" s="24" t="s">
        <v>4</v>
      </c>
      <c r="J91" s="2">
        <f>SUM(J92:J99)</f>
        <v>0</v>
      </c>
      <c r="K91" s="2">
        <f>SUM(K92:K99)</f>
        <v>0</v>
      </c>
      <c r="L91" s="2">
        <f>SUM(L92:L99)</f>
        <v>0</v>
      </c>
      <c r="M91" s="2">
        <f>SUM(M92:M99)</f>
        <v>0</v>
      </c>
      <c r="N91" s="13"/>
      <c r="O91" s="2">
        <f>SUM(O92:O99)</f>
        <v>0</v>
      </c>
      <c r="P91" s="25"/>
      <c r="AI91" s="13"/>
      <c r="AS91" s="2">
        <f>SUM(AJ92:AJ99)</f>
        <v>0</v>
      </c>
      <c r="AT91" s="2">
        <f>SUM(AK92:AK99)</f>
        <v>0</v>
      </c>
      <c r="AU91" s="2">
        <f>SUM(AL92:AL99)</f>
        <v>0</v>
      </c>
    </row>
    <row r="92" spans="1:76" ht="15" customHeight="1" x14ac:dyDescent="0.25">
      <c r="A92" s="26" t="s">
        <v>308</v>
      </c>
      <c r="B92" s="4"/>
      <c r="C92" s="4" t="s">
        <v>309</v>
      </c>
      <c r="D92" s="65" t="s">
        <v>310</v>
      </c>
      <c r="E92" s="65"/>
      <c r="F92" s="4" t="s">
        <v>115</v>
      </c>
      <c r="G92" s="27">
        <v>36</v>
      </c>
      <c r="H92" s="27">
        <v>0</v>
      </c>
      <c r="I92" s="28" t="s">
        <v>61</v>
      </c>
      <c r="J92" s="27">
        <f t="shared" ref="J92:J99" si="52">G92*AO92</f>
        <v>0</v>
      </c>
      <c r="K92" s="27">
        <f t="shared" ref="K92:K99" si="53">G92*AP92</f>
        <v>0</v>
      </c>
      <c r="L92" s="27">
        <f t="shared" ref="L92:L99" si="54">G92*H92</f>
        <v>0</v>
      </c>
      <c r="M92" s="27">
        <f t="shared" ref="M92:M99" si="55">L92*(1+BW92/100)</f>
        <v>0</v>
      </c>
      <c r="N92" s="27">
        <v>0</v>
      </c>
      <c r="O92" s="27">
        <f t="shared" ref="O92:O99" si="56">G92*N92</f>
        <v>0</v>
      </c>
      <c r="P92" s="29" t="s">
        <v>62</v>
      </c>
      <c r="Z92" s="27">
        <f t="shared" ref="Z92:Z99" si="57">IF(AQ92="5",BJ92,0)</f>
        <v>0</v>
      </c>
      <c r="AB92" s="27">
        <f t="shared" ref="AB92:AB99" si="58">IF(AQ92="1",BH92,0)</f>
        <v>0</v>
      </c>
      <c r="AC92" s="27">
        <f t="shared" ref="AC92:AC99" si="59">IF(AQ92="1",BI92,0)</f>
        <v>0</v>
      </c>
      <c r="AD92" s="27">
        <f t="shared" ref="AD92:AD99" si="60">IF(AQ92="7",BH92,0)</f>
        <v>0</v>
      </c>
      <c r="AE92" s="27">
        <f t="shared" ref="AE92:AE99" si="61">IF(AQ92="7",BI92,0)</f>
        <v>0</v>
      </c>
      <c r="AF92" s="27">
        <f t="shared" ref="AF92:AF99" si="62">IF(AQ92="2",BH92,0)</f>
        <v>0</v>
      </c>
      <c r="AG92" s="27">
        <f t="shared" ref="AG92:AG99" si="63">IF(AQ92="2",BI92,0)</f>
        <v>0</v>
      </c>
      <c r="AH92" s="27">
        <f t="shared" ref="AH92:AH99" si="64">IF(AQ92="0",BJ92,0)</f>
        <v>0</v>
      </c>
      <c r="AI92" s="13"/>
      <c r="AJ92" s="27">
        <f t="shared" ref="AJ92:AJ99" si="65">IF(AN92=0,L92,0)</f>
        <v>0</v>
      </c>
      <c r="AK92" s="27">
        <f t="shared" ref="AK92:AK99" si="66">IF(AN92=12,L92,0)</f>
        <v>0</v>
      </c>
      <c r="AL92" s="27">
        <f t="shared" ref="AL92:AL99" si="67">IF(AN92=21,L92,0)</f>
        <v>0</v>
      </c>
      <c r="AN92" s="27">
        <v>21</v>
      </c>
      <c r="AO92" s="27">
        <f t="shared" ref="AO92:AO99" si="68">H92*0</f>
        <v>0</v>
      </c>
      <c r="AP92" s="27">
        <f t="shared" ref="AP92:AP99" si="69">H92*(1-0)</f>
        <v>0</v>
      </c>
      <c r="AQ92" s="28" t="s">
        <v>86</v>
      </c>
      <c r="AV92" s="27">
        <f t="shared" ref="AV92:AV99" si="70">AW92+AX92</f>
        <v>0</v>
      </c>
      <c r="AW92" s="27">
        <f t="shared" ref="AW92:AW99" si="71">G92*AO92</f>
        <v>0</v>
      </c>
      <c r="AX92" s="27">
        <f t="shared" ref="AX92:AX99" si="72">G92*AP92</f>
        <v>0</v>
      </c>
      <c r="AY92" s="28" t="s">
        <v>311</v>
      </c>
      <c r="AZ92" s="28" t="s">
        <v>238</v>
      </c>
      <c r="BA92" s="13" t="s">
        <v>65</v>
      </c>
      <c r="BC92" s="27">
        <f t="shared" ref="BC92:BC99" si="73">AW92+AX92</f>
        <v>0</v>
      </c>
      <c r="BD92" s="27">
        <f t="shared" ref="BD92:BD99" si="74">H92/(100-BE92)*100</f>
        <v>0</v>
      </c>
      <c r="BE92" s="27">
        <v>0</v>
      </c>
      <c r="BF92" s="27">
        <f t="shared" ref="BF92:BF99" si="75">O92</f>
        <v>0</v>
      </c>
      <c r="BH92" s="27">
        <f t="shared" ref="BH92:BH99" si="76">G92*AO92</f>
        <v>0</v>
      </c>
      <c r="BI92" s="27">
        <f t="shared" ref="BI92:BI99" si="77">G92*AP92</f>
        <v>0</v>
      </c>
      <c r="BJ92" s="27">
        <f t="shared" ref="BJ92:BJ99" si="78">G92*H92</f>
        <v>0</v>
      </c>
      <c r="BK92" s="27"/>
      <c r="BL92" s="27"/>
      <c r="BW92" s="27" t="str">
        <f t="shared" ref="BW92:BW99" si="79">I92</f>
        <v>21</v>
      </c>
      <c r="BX92" s="3" t="s">
        <v>310</v>
      </c>
    </row>
    <row r="93" spans="1:76" ht="15" customHeight="1" x14ac:dyDescent="0.25">
      <c r="A93" s="26" t="s">
        <v>312</v>
      </c>
      <c r="B93" s="4"/>
      <c r="C93" s="4" t="s">
        <v>313</v>
      </c>
      <c r="D93" s="65" t="s">
        <v>314</v>
      </c>
      <c r="E93" s="65"/>
      <c r="F93" s="4" t="s">
        <v>115</v>
      </c>
      <c r="G93" s="27">
        <v>0.8</v>
      </c>
      <c r="H93" s="27">
        <v>0</v>
      </c>
      <c r="I93" s="28" t="s">
        <v>61</v>
      </c>
      <c r="J93" s="27">
        <f t="shared" si="52"/>
        <v>0</v>
      </c>
      <c r="K93" s="27">
        <f t="shared" si="53"/>
        <v>0</v>
      </c>
      <c r="L93" s="27">
        <f t="shared" si="54"/>
        <v>0</v>
      </c>
      <c r="M93" s="27">
        <f t="shared" si="55"/>
        <v>0</v>
      </c>
      <c r="N93" s="27">
        <v>0</v>
      </c>
      <c r="O93" s="27">
        <f t="shared" si="56"/>
        <v>0</v>
      </c>
      <c r="P93" s="29" t="s">
        <v>62</v>
      </c>
      <c r="Z93" s="27">
        <f t="shared" si="57"/>
        <v>0</v>
      </c>
      <c r="AB93" s="27">
        <f t="shared" si="58"/>
        <v>0</v>
      </c>
      <c r="AC93" s="27">
        <f t="shared" si="59"/>
        <v>0</v>
      </c>
      <c r="AD93" s="27">
        <f t="shared" si="60"/>
        <v>0</v>
      </c>
      <c r="AE93" s="27">
        <f t="shared" si="61"/>
        <v>0</v>
      </c>
      <c r="AF93" s="27">
        <f t="shared" si="62"/>
        <v>0</v>
      </c>
      <c r="AG93" s="27">
        <f t="shared" si="63"/>
        <v>0</v>
      </c>
      <c r="AH93" s="27">
        <f t="shared" si="64"/>
        <v>0</v>
      </c>
      <c r="AI93" s="13"/>
      <c r="AJ93" s="27">
        <f t="shared" si="65"/>
        <v>0</v>
      </c>
      <c r="AK93" s="27">
        <f t="shared" si="66"/>
        <v>0</v>
      </c>
      <c r="AL93" s="27">
        <f t="shared" si="67"/>
        <v>0</v>
      </c>
      <c r="AN93" s="27">
        <v>21</v>
      </c>
      <c r="AO93" s="27">
        <f t="shared" si="68"/>
        <v>0</v>
      </c>
      <c r="AP93" s="27">
        <f t="shared" si="69"/>
        <v>0</v>
      </c>
      <c r="AQ93" s="28" t="s">
        <v>86</v>
      </c>
      <c r="AV93" s="27">
        <f t="shared" si="70"/>
        <v>0</v>
      </c>
      <c r="AW93" s="27">
        <f t="shared" si="71"/>
        <v>0</v>
      </c>
      <c r="AX93" s="27">
        <f t="shared" si="72"/>
        <v>0</v>
      </c>
      <c r="AY93" s="28" t="s">
        <v>311</v>
      </c>
      <c r="AZ93" s="28" t="s">
        <v>238</v>
      </c>
      <c r="BA93" s="13" t="s">
        <v>65</v>
      </c>
      <c r="BC93" s="27">
        <f t="shared" si="73"/>
        <v>0</v>
      </c>
      <c r="BD93" s="27">
        <f t="shared" si="74"/>
        <v>0</v>
      </c>
      <c r="BE93" s="27">
        <v>0</v>
      </c>
      <c r="BF93" s="27">
        <f t="shared" si="75"/>
        <v>0</v>
      </c>
      <c r="BH93" s="27">
        <f t="shared" si="76"/>
        <v>0</v>
      </c>
      <c r="BI93" s="27">
        <f t="shared" si="77"/>
        <v>0</v>
      </c>
      <c r="BJ93" s="27">
        <f t="shared" si="78"/>
        <v>0</v>
      </c>
      <c r="BK93" s="27"/>
      <c r="BL93" s="27"/>
      <c r="BW93" s="27" t="str">
        <f t="shared" si="79"/>
        <v>21</v>
      </c>
      <c r="BX93" s="3" t="s">
        <v>314</v>
      </c>
    </row>
    <row r="94" spans="1:76" ht="12.75" customHeight="1" x14ac:dyDescent="0.25">
      <c r="A94" s="26" t="s">
        <v>315</v>
      </c>
      <c r="B94" s="4"/>
      <c r="C94" s="4" t="s">
        <v>316</v>
      </c>
      <c r="D94" s="65" t="s">
        <v>317</v>
      </c>
      <c r="E94" s="65"/>
      <c r="F94" s="4" t="s">
        <v>115</v>
      </c>
      <c r="G94" s="27">
        <v>36</v>
      </c>
      <c r="H94" s="27">
        <v>0</v>
      </c>
      <c r="I94" s="28" t="s">
        <v>61</v>
      </c>
      <c r="J94" s="27">
        <f t="shared" si="52"/>
        <v>0</v>
      </c>
      <c r="K94" s="27">
        <f t="shared" si="53"/>
        <v>0</v>
      </c>
      <c r="L94" s="27">
        <f t="shared" si="54"/>
        <v>0</v>
      </c>
      <c r="M94" s="27">
        <f t="shared" si="55"/>
        <v>0</v>
      </c>
      <c r="N94" s="27">
        <v>0</v>
      </c>
      <c r="O94" s="27">
        <f t="shared" si="56"/>
        <v>0</v>
      </c>
      <c r="P94" s="29" t="s">
        <v>62</v>
      </c>
      <c r="Z94" s="27">
        <f t="shared" si="57"/>
        <v>0</v>
      </c>
      <c r="AB94" s="27">
        <f t="shared" si="58"/>
        <v>0</v>
      </c>
      <c r="AC94" s="27">
        <f t="shared" si="59"/>
        <v>0</v>
      </c>
      <c r="AD94" s="27">
        <f t="shared" si="60"/>
        <v>0</v>
      </c>
      <c r="AE94" s="27">
        <f t="shared" si="61"/>
        <v>0</v>
      </c>
      <c r="AF94" s="27">
        <f t="shared" si="62"/>
        <v>0</v>
      </c>
      <c r="AG94" s="27">
        <f t="shared" si="63"/>
        <v>0</v>
      </c>
      <c r="AH94" s="27">
        <f t="shared" si="64"/>
        <v>0</v>
      </c>
      <c r="AI94" s="13"/>
      <c r="AJ94" s="27">
        <f t="shared" si="65"/>
        <v>0</v>
      </c>
      <c r="AK94" s="27">
        <f t="shared" si="66"/>
        <v>0</v>
      </c>
      <c r="AL94" s="27">
        <f t="shared" si="67"/>
        <v>0</v>
      </c>
      <c r="AN94" s="27">
        <v>21</v>
      </c>
      <c r="AO94" s="27">
        <f t="shared" si="68"/>
        <v>0</v>
      </c>
      <c r="AP94" s="27">
        <f t="shared" si="69"/>
        <v>0</v>
      </c>
      <c r="AQ94" s="28" t="s">
        <v>86</v>
      </c>
      <c r="AV94" s="27">
        <f t="shared" si="70"/>
        <v>0</v>
      </c>
      <c r="AW94" s="27">
        <f t="shared" si="71"/>
        <v>0</v>
      </c>
      <c r="AX94" s="27">
        <f t="shared" si="72"/>
        <v>0</v>
      </c>
      <c r="AY94" s="28" t="s">
        <v>311</v>
      </c>
      <c r="AZ94" s="28" t="s">
        <v>238</v>
      </c>
      <c r="BA94" s="13" t="s">
        <v>65</v>
      </c>
      <c r="BC94" s="27">
        <f t="shared" si="73"/>
        <v>0</v>
      </c>
      <c r="BD94" s="27">
        <f t="shared" si="74"/>
        <v>0</v>
      </c>
      <c r="BE94" s="27">
        <v>0</v>
      </c>
      <c r="BF94" s="27">
        <f t="shared" si="75"/>
        <v>0</v>
      </c>
      <c r="BH94" s="27">
        <f t="shared" si="76"/>
        <v>0</v>
      </c>
      <c r="BI94" s="27">
        <f t="shared" si="77"/>
        <v>0</v>
      </c>
      <c r="BJ94" s="27">
        <f t="shared" si="78"/>
        <v>0</v>
      </c>
      <c r="BK94" s="27"/>
      <c r="BL94" s="27"/>
      <c r="BW94" s="27" t="str">
        <f t="shared" si="79"/>
        <v>21</v>
      </c>
      <c r="BX94" s="3" t="s">
        <v>317</v>
      </c>
    </row>
    <row r="95" spans="1:76" ht="12.75" customHeight="1" x14ac:dyDescent="0.25">
      <c r="A95" s="26" t="s">
        <v>97</v>
      </c>
      <c r="B95" s="4"/>
      <c r="C95" s="4" t="s">
        <v>318</v>
      </c>
      <c r="D95" s="65" t="s">
        <v>319</v>
      </c>
      <c r="E95" s="65"/>
      <c r="F95" s="4" t="s">
        <v>115</v>
      </c>
      <c r="G95" s="27">
        <v>1</v>
      </c>
      <c r="H95" s="27">
        <v>0</v>
      </c>
      <c r="I95" s="28" t="s">
        <v>61</v>
      </c>
      <c r="J95" s="27">
        <f t="shared" si="52"/>
        <v>0</v>
      </c>
      <c r="K95" s="27">
        <f t="shared" si="53"/>
        <v>0</v>
      </c>
      <c r="L95" s="27">
        <f t="shared" si="54"/>
        <v>0</v>
      </c>
      <c r="M95" s="27">
        <f t="shared" si="55"/>
        <v>0</v>
      </c>
      <c r="N95" s="27">
        <v>0</v>
      </c>
      <c r="O95" s="27">
        <f t="shared" si="56"/>
        <v>0</v>
      </c>
      <c r="P95" s="29" t="s">
        <v>62</v>
      </c>
      <c r="Z95" s="27">
        <f t="shared" si="57"/>
        <v>0</v>
      </c>
      <c r="AB95" s="27">
        <f t="shared" si="58"/>
        <v>0</v>
      </c>
      <c r="AC95" s="27">
        <f t="shared" si="59"/>
        <v>0</v>
      </c>
      <c r="AD95" s="27">
        <f t="shared" si="60"/>
        <v>0</v>
      </c>
      <c r="AE95" s="27">
        <f t="shared" si="61"/>
        <v>0</v>
      </c>
      <c r="AF95" s="27">
        <f t="shared" si="62"/>
        <v>0</v>
      </c>
      <c r="AG95" s="27">
        <f t="shared" si="63"/>
        <v>0</v>
      </c>
      <c r="AH95" s="27">
        <f t="shared" si="64"/>
        <v>0</v>
      </c>
      <c r="AI95" s="13"/>
      <c r="AJ95" s="27">
        <f t="shared" si="65"/>
        <v>0</v>
      </c>
      <c r="AK95" s="27">
        <f t="shared" si="66"/>
        <v>0</v>
      </c>
      <c r="AL95" s="27">
        <f t="shared" si="67"/>
        <v>0</v>
      </c>
      <c r="AN95" s="27">
        <v>21</v>
      </c>
      <c r="AO95" s="27">
        <f t="shared" si="68"/>
        <v>0</v>
      </c>
      <c r="AP95" s="27">
        <f t="shared" si="69"/>
        <v>0</v>
      </c>
      <c r="AQ95" s="28" t="s">
        <v>86</v>
      </c>
      <c r="AV95" s="27">
        <f t="shared" si="70"/>
        <v>0</v>
      </c>
      <c r="AW95" s="27">
        <f t="shared" si="71"/>
        <v>0</v>
      </c>
      <c r="AX95" s="27">
        <f t="shared" si="72"/>
        <v>0</v>
      </c>
      <c r="AY95" s="28" t="s">
        <v>311</v>
      </c>
      <c r="AZ95" s="28" t="s">
        <v>238</v>
      </c>
      <c r="BA95" s="13" t="s">
        <v>65</v>
      </c>
      <c r="BC95" s="27">
        <f t="shared" si="73"/>
        <v>0</v>
      </c>
      <c r="BD95" s="27">
        <f t="shared" si="74"/>
        <v>0</v>
      </c>
      <c r="BE95" s="27">
        <v>0</v>
      </c>
      <c r="BF95" s="27">
        <f t="shared" si="75"/>
        <v>0</v>
      </c>
      <c r="BH95" s="27">
        <f t="shared" si="76"/>
        <v>0</v>
      </c>
      <c r="BI95" s="27">
        <f t="shared" si="77"/>
        <v>0</v>
      </c>
      <c r="BJ95" s="27">
        <f t="shared" si="78"/>
        <v>0</v>
      </c>
      <c r="BK95" s="27"/>
      <c r="BL95" s="27"/>
      <c r="BW95" s="27" t="str">
        <f t="shared" si="79"/>
        <v>21</v>
      </c>
      <c r="BX95" s="3" t="s">
        <v>319</v>
      </c>
    </row>
    <row r="96" spans="1:76" ht="15" customHeight="1" x14ac:dyDescent="0.25">
      <c r="A96" s="26" t="s">
        <v>320</v>
      </c>
      <c r="B96" s="4"/>
      <c r="C96" s="4" t="s">
        <v>321</v>
      </c>
      <c r="D96" s="65" t="s">
        <v>322</v>
      </c>
      <c r="E96" s="65"/>
      <c r="F96" s="4" t="s">
        <v>115</v>
      </c>
      <c r="G96" s="27">
        <v>36</v>
      </c>
      <c r="H96" s="27">
        <v>0</v>
      </c>
      <c r="I96" s="28" t="s">
        <v>61</v>
      </c>
      <c r="J96" s="27">
        <f t="shared" si="52"/>
        <v>0</v>
      </c>
      <c r="K96" s="27">
        <f t="shared" si="53"/>
        <v>0</v>
      </c>
      <c r="L96" s="27">
        <f t="shared" si="54"/>
        <v>0</v>
      </c>
      <c r="M96" s="27">
        <f t="shared" si="55"/>
        <v>0</v>
      </c>
      <c r="N96" s="27">
        <v>0</v>
      </c>
      <c r="O96" s="27">
        <f t="shared" si="56"/>
        <v>0</v>
      </c>
      <c r="P96" s="29" t="s">
        <v>62</v>
      </c>
      <c r="Z96" s="27">
        <f t="shared" si="57"/>
        <v>0</v>
      </c>
      <c r="AB96" s="27">
        <f t="shared" si="58"/>
        <v>0</v>
      </c>
      <c r="AC96" s="27">
        <f t="shared" si="59"/>
        <v>0</v>
      </c>
      <c r="AD96" s="27">
        <f t="shared" si="60"/>
        <v>0</v>
      </c>
      <c r="AE96" s="27">
        <f t="shared" si="61"/>
        <v>0</v>
      </c>
      <c r="AF96" s="27">
        <f t="shared" si="62"/>
        <v>0</v>
      </c>
      <c r="AG96" s="27">
        <f t="shared" si="63"/>
        <v>0</v>
      </c>
      <c r="AH96" s="27">
        <f t="shared" si="64"/>
        <v>0</v>
      </c>
      <c r="AI96" s="13"/>
      <c r="AJ96" s="27">
        <f t="shared" si="65"/>
        <v>0</v>
      </c>
      <c r="AK96" s="27">
        <f t="shared" si="66"/>
        <v>0</v>
      </c>
      <c r="AL96" s="27">
        <f t="shared" si="67"/>
        <v>0</v>
      </c>
      <c r="AN96" s="27">
        <v>21</v>
      </c>
      <c r="AO96" s="27">
        <f t="shared" si="68"/>
        <v>0</v>
      </c>
      <c r="AP96" s="27">
        <f t="shared" si="69"/>
        <v>0</v>
      </c>
      <c r="AQ96" s="28" t="s">
        <v>86</v>
      </c>
      <c r="AV96" s="27">
        <f t="shared" si="70"/>
        <v>0</v>
      </c>
      <c r="AW96" s="27">
        <f t="shared" si="71"/>
        <v>0</v>
      </c>
      <c r="AX96" s="27">
        <f t="shared" si="72"/>
        <v>0</v>
      </c>
      <c r="AY96" s="28" t="s">
        <v>311</v>
      </c>
      <c r="AZ96" s="28" t="s">
        <v>238</v>
      </c>
      <c r="BA96" s="13" t="s">
        <v>65</v>
      </c>
      <c r="BC96" s="27">
        <f t="shared" si="73"/>
        <v>0</v>
      </c>
      <c r="BD96" s="27">
        <f t="shared" si="74"/>
        <v>0</v>
      </c>
      <c r="BE96" s="27">
        <v>0</v>
      </c>
      <c r="BF96" s="27">
        <f t="shared" si="75"/>
        <v>0</v>
      </c>
      <c r="BH96" s="27">
        <f t="shared" si="76"/>
        <v>0</v>
      </c>
      <c r="BI96" s="27">
        <f t="shared" si="77"/>
        <v>0</v>
      </c>
      <c r="BJ96" s="27">
        <f t="shared" si="78"/>
        <v>0</v>
      </c>
      <c r="BK96" s="27"/>
      <c r="BL96" s="27"/>
      <c r="BW96" s="27" t="str">
        <f t="shared" si="79"/>
        <v>21</v>
      </c>
      <c r="BX96" s="3" t="s">
        <v>322</v>
      </c>
    </row>
    <row r="97" spans="1:76" ht="15" customHeight="1" x14ac:dyDescent="0.25">
      <c r="A97" s="26" t="s">
        <v>110</v>
      </c>
      <c r="B97" s="4"/>
      <c r="C97" s="4" t="s">
        <v>323</v>
      </c>
      <c r="D97" s="65" t="s">
        <v>324</v>
      </c>
      <c r="E97" s="65"/>
      <c r="F97" s="4" t="s">
        <v>115</v>
      </c>
      <c r="G97" s="27">
        <v>540</v>
      </c>
      <c r="H97" s="27">
        <v>0</v>
      </c>
      <c r="I97" s="28" t="s">
        <v>61</v>
      </c>
      <c r="J97" s="27">
        <f t="shared" si="52"/>
        <v>0</v>
      </c>
      <c r="K97" s="27">
        <f t="shared" si="53"/>
        <v>0</v>
      </c>
      <c r="L97" s="27">
        <f t="shared" si="54"/>
        <v>0</v>
      </c>
      <c r="M97" s="27">
        <f t="shared" si="55"/>
        <v>0</v>
      </c>
      <c r="N97" s="27">
        <v>0</v>
      </c>
      <c r="O97" s="27">
        <f t="shared" si="56"/>
        <v>0</v>
      </c>
      <c r="P97" s="29" t="s">
        <v>62</v>
      </c>
      <c r="Z97" s="27">
        <f t="shared" si="57"/>
        <v>0</v>
      </c>
      <c r="AB97" s="27">
        <f t="shared" si="58"/>
        <v>0</v>
      </c>
      <c r="AC97" s="27">
        <f t="shared" si="59"/>
        <v>0</v>
      </c>
      <c r="AD97" s="27">
        <f t="shared" si="60"/>
        <v>0</v>
      </c>
      <c r="AE97" s="27">
        <f t="shared" si="61"/>
        <v>0</v>
      </c>
      <c r="AF97" s="27">
        <f t="shared" si="62"/>
        <v>0</v>
      </c>
      <c r="AG97" s="27">
        <f t="shared" si="63"/>
        <v>0</v>
      </c>
      <c r="AH97" s="27">
        <f t="shared" si="64"/>
        <v>0</v>
      </c>
      <c r="AI97" s="13"/>
      <c r="AJ97" s="27">
        <f t="shared" si="65"/>
        <v>0</v>
      </c>
      <c r="AK97" s="27">
        <f t="shared" si="66"/>
        <v>0</v>
      </c>
      <c r="AL97" s="27">
        <f t="shared" si="67"/>
        <v>0</v>
      </c>
      <c r="AN97" s="27">
        <v>21</v>
      </c>
      <c r="AO97" s="27">
        <f t="shared" si="68"/>
        <v>0</v>
      </c>
      <c r="AP97" s="27">
        <f t="shared" si="69"/>
        <v>0</v>
      </c>
      <c r="AQ97" s="28" t="s">
        <v>86</v>
      </c>
      <c r="AV97" s="27">
        <f t="shared" si="70"/>
        <v>0</v>
      </c>
      <c r="AW97" s="27">
        <f t="shared" si="71"/>
        <v>0</v>
      </c>
      <c r="AX97" s="27">
        <f t="shared" si="72"/>
        <v>0</v>
      </c>
      <c r="AY97" s="28" t="s">
        <v>311</v>
      </c>
      <c r="AZ97" s="28" t="s">
        <v>238</v>
      </c>
      <c r="BA97" s="13" t="s">
        <v>65</v>
      </c>
      <c r="BC97" s="27">
        <f t="shared" si="73"/>
        <v>0</v>
      </c>
      <c r="BD97" s="27">
        <f t="shared" si="74"/>
        <v>0</v>
      </c>
      <c r="BE97" s="27">
        <v>0</v>
      </c>
      <c r="BF97" s="27">
        <f t="shared" si="75"/>
        <v>0</v>
      </c>
      <c r="BH97" s="27">
        <f t="shared" si="76"/>
        <v>0</v>
      </c>
      <c r="BI97" s="27">
        <f t="shared" si="77"/>
        <v>0</v>
      </c>
      <c r="BJ97" s="27">
        <f t="shared" si="78"/>
        <v>0</v>
      </c>
      <c r="BK97" s="27"/>
      <c r="BL97" s="27"/>
      <c r="BW97" s="27" t="str">
        <f t="shared" si="79"/>
        <v>21</v>
      </c>
      <c r="BX97" s="3" t="s">
        <v>324</v>
      </c>
    </row>
    <row r="98" spans="1:76" ht="15" customHeight="1" x14ac:dyDescent="0.25">
      <c r="A98" s="26" t="s">
        <v>325</v>
      </c>
      <c r="B98" s="4"/>
      <c r="C98" s="4" t="s">
        <v>326</v>
      </c>
      <c r="D98" s="65" t="s">
        <v>327</v>
      </c>
      <c r="E98" s="65"/>
      <c r="F98" s="4" t="s">
        <v>115</v>
      </c>
      <c r="G98" s="27">
        <v>36</v>
      </c>
      <c r="H98" s="27">
        <v>0</v>
      </c>
      <c r="I98" s="28" t="s">
        <v>61</v>
      </c>
      <c r="J98" s="27">
        <f t="shared" si="52"/>
        <v>0</v>
      </c>
      <c r="K98" s="27">
        <f t="shared" si="53"/>
        <v>0</v>
      </c>
      <c r="L98" s="27">
        <f t="shared" si="54"/>
        <v>0</v>
      </c>
      <c r="M98" s="27">
        <f t="shared" si="55"/>
        <v>0</v>
      </c>
      <c r="N98" s="27">
        <v>0</v>
      </c>
      <c r="O98" s="27">
        <f t="shared" si="56"/>
        <v>0</v>
      </c>
      <c r="P98" s="29" t="s">
        <v>62</v>
      </c>
      <c r="Z98" s="27">
        <f t="shared" si="57"/>
        <v>0</v>
      </c>
      <c r="AB98" s="27">
        <f t="shared" si="58"/>
        <v>0</v>
      </c>
      <c r="AC98" s="27">
        <f t="shared" si="59"/>
        <v>0</v>
      </c>
      <c r="AD98" s="27">
        <f t="shared" si="60"/>
        <v>0</v>
      </c>
      <c r="AE98" s="27">
        <f t="shared" si="61"/>
        <v>0</v>
      </c>
      <c r="AF98" s="27">
        <f t="shared" si="62"/>
        <v>0</v>
      </c>
      <c r="AG98" s="27">
        <f t="shared" si="63"/>
        <v>0</v>
      </c>
      <c r="AH98" s="27">
        <f t="shared" si="64"/>
        <v>0</v>
      </c>
      <c r="AI98" s="13"/>
      <c r="AJ98" s="27">
        <f t="shared" si="65"/>
        <v>0</v>
      </c>
      <c r="AK98" s="27">
        <f t="shared" si="66"/>
        <v>0</v>
      </c>
      <c r="AL98" s="27">
        <f t="shared" si="67"/>
        <v>0</v>
      </c>
      <c r="AN98" s="27">
        <v>21</v>
      </c>
      <c r="AO98" s="27">
        <f t="shared" si="68"/>
        <v>0</v>
      </c>
      <c r="AP98" s="27">
        <f t="shared" si="69"/>
        <v>0</v>
      </c>
      <c r="AQ98" s="28" t="s">
        <v>86</v>
      </c>
      <c r="AV98" s="27">
        <f t="shared" si="70"/>
        <v>0</v>
      </c>
      <c r="AW98" s="27">
        <f t="shared" si="71"/>
        <v>0</v>
      </c>
      <c r="AX98" s="27">
        <f t="shared" si="72"/>
        <v>0</v>
      </c>
      <c r="AY98" s="28" t="s">
        <v>311</v>
      </c>
      <c r="AZ98" s="28" t="s">
        <v>238</v>
      </c>
      <c r="BA98" s="13" t="s">
        <v>65</v>
      </c>
      <c r="BC98" s="27">
        <f t="shared" si="73"/>
        <v>0</v>
      </c>
      <c r="BD98" s="27">
        <f t="shared" si="74"/>
        <v>0</v>
      </c>
      <c r="BE98" s="27">
        <v>0</v>
      </c>
      <c r="BF98" s="27">
        <f t="shared" si="75"/>
        <v>0</v>
      </c>
      <c r="BH98" s="27">
        <f t="shared" si="76"/>
        <v>0</v>
      </c>
      <c r="BI98" s="27">
        <f t="shared" si="77"/>
        <v>0</v>
      </c>
      <c r="BJ98" s="27">
        <f t="shared" si="78"/>
        <v>0</v>
      </c>
      <c r="BK98" s="27"/>
      <c r="BL98" s="27"/>
      <c r="BW98" s="27" t="str">
        <f t="shared" si="79"/>
        <v>21</v>
      </c>
      <c r="BX98" s="3" t="s">
        <v>327</v>
      </c>
    </row>
    <row r="99" spans="1:76" ht="15" customHeight="1" x14ac:dyDescent="0.25">
      <c r="A99" s="30" t="s">
        <v>328</v>
      </c>
      <c r="B99" s="31"/>
      <c r="C99" s="31" t="s">
        <v>329</v>
      </c>
      <c r="D99" s="75" t="s">
        <v>330</v>
      </c>
      <c r="E99" s="75"/>
      <c r="F99" s="31" t="s">
        <v>115</v>
      </c>
      <c r="G99" s="32">
        <v>360</v>
      </c>
      <c r="H99" s="32">
        <v>0</v>
      </c>
      <c r="I99" s="33" t="s">
        <v>61</v>
      </c>
      <c r="J99" s="32">
        <f t="shared" si="52"/>
        <v>0</v>
      </c>
      <c r="K99" s="32">
        <f t="shared" si="53"/>
        <v>0</v>
      </c>
      <c r="L99" s="32">
        <f t="shared" si="54"/>
        <v>0</v>
      </c>
      <c r="M99" s="32">
        <f t="shared" si="55"/>
        <v>0</v>
      </c>
      <c r="N99" s="32">
        <v>0</v>
      </c>
      <c r="O99" s="32">
        <f t="shared" si="56"/>
        <v>0</v>
      </c>
      <c r="P99" s="34" t="s">
        <v>62</v>
      </c>
      <c r="Z99" s="27">
        <f t="shared" si="57"/>
        <v>0</v>
      </c>
      <c r="AB99" s="27">
        <f t="shared" si="58"/>
        <v>0</v>
      </c>
      <c r="AC99" s="27">
        <f t="shared" si="59"/>
        <v>0</v>
      </c>
      <c r="AD99" s="27">
        <f t="shared" si="60"/>
        <v>0</v>
      </c>
      <c r="AE99" s="27">
        <f t="shared" si="61"/>
        <v>0</v>
      </c>
      <c r="AF99" s="27">
        <f t="shared" si="62"/>
        <v>0</v>
      </c>
      <c r="AG99" s="27">
        <f t="shared" si="63"/>
        <v>0</v>
      </c>
      <c r="AH99" s="27">
        <f t="shared" si="64"/>
        <v>0</v>
      </c>
      <c r="AI99" s="13"/>
      <c r="AJ99" s="27">
        <f t="shared" si="65"/>
        <v>0</v>
      </c>
      <c r="AK99" s="27">
        <f t="shared" si="66"/>
        <v>0</v>
      </c>
      <c r="AL99" s="27">
        <f t="shared" si="67"/>
        <v>0</v>
      </c>
      <c r="AN99" s="27">
        <v>21</v>
      </c>
      <c r="AO99" s="27">
        <f t="shared" si="68"/>
        <v>0</v>
      </c>
      <c r="AP99" s="27">
        <f t="shared" si="69"/>
        <v>0</v>
      </c>
      <c r="AQ99" s="28" t="s">
        <v>86</v>
      </c>
      <c r="AV99" s="27">
        <f t="shared" si="70"/>
        <v>0</v>
      </c>
      <c r="AW99" s="27">
        <f t="shared" si="71"/>
        <v>0</v>
      </c>
      <c r="AX99" s="27">
        <f t="shared" si="72"/>
        <v>0</v>
      </c>
      <c r="AY99" s="28" t="s">
        <v>311</v>
      </c>
      <c r="AZ99" s="28" t="s">
        <v>238</v>
      </c>
      <c r="BA99" s="13" t="s">
        <v>65</v>
      </c>
      <c r="BC99" s="27">
        <f t="shared" si="73"/>
        <v>0</v>
      </c>
      <c r="BD99" s="27">
        <f t="shared" si="74"/>
        <v>0</v>
      </c>
      <c r="BE99" s="27">
        <v>0</v>
      </c>
      <c r="BF99" s="27">
        <f t="shared" si="75"/>
        <v>0</v>
      </c>
      <c r="BH99" s="27">
        <f t="shared" si="76"/>
        <v>0</v>
      </c>
      <c r="BI99" s="27">
        <f t="shared" si="77"/>
        <v>0</v>
      </c>
      <c r="BJ99" s="27">
        <f t="shared" si="78"/>
        <v>0</v>
      </c>
      <c r="BK99" s="27"/>
      <c r="BL99" s="27"/>
      <c r="BW99" s="27" t="str">
        <f t="shared" si="79"/>
        <v>21</v>
      </c>
      <c r="BX99" s="3" t="s">
        <v>330</v>
      </c>
    </row>
    <row r="100" spans="1:76" x14ac:dyDescent="0.25">
      <c r="J100" s="76" t="s">
        <v>331</v>
      </c>
      <c r="K100" s="76"/>
      <c r="L100" s="35">
        <f>L12+L14+L16+L19+L23+L27+L35+L41+L45+L51+L53+L62+L64+L66+L68+L70+L73+L77+L79+L81+L83+L85+L91</f>
        <v>0</v>
      </c>
      <c r="M100" s="35">
        <f>M12+M14+M16+M19+M23+M27+M35+M41+M45+M51+M53+M62+M64+M66+M68+M70+M73+M77+M79+M81+M83+M85+M91</f>
        <v>0</v>
      </c>
    </row>
    <row r="101" spans="1:76" x14ac:dyDescent="0.25">
      <c r="A101" s="36" t="s">
        <v>332</v>
      </c>
    </row>
    <row r="102" spans="1:76" ht="12.75" customHeight="1" x14ac:dyDescent="0.2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</row>
  </sheetData>
  <sheetProtection selectLockedCells="1" selectUnlockedCells="1"/>
  <mergeCells count="119">
    <mergeCell ref="D98:E98"/>
    <mergeCell ref="D99:E99"/>
    <mergeCell ref="J100:K100"/>
    <mergeCell ref="A102:P102"/>
    <mergeCell ref="D92:E92"/>
    <mergeCell ref="D93:E93"/>
    <mergeCell ref="D94:E94"/>
    <mergeCell ref="D95:E95"/>
    <mergeCell ref="D96:E96"/>
    <mergeCell ref="D97:E97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10:E10"/>
    <mergeCell ref="J10:L10"/>
    <mergeCell ref="N10:O10"/>
    <mergeCell ref="D11:E11"/>
    <mergeCell ref="D12:E12"/>
    <mergeCell ref="D13:E13"/>
    <mergeCell ref="A8:C9"/>
    <mergeCell ref="D8:E9"/>
    <mergeCell ref="F8:G9"/>
    <mergeCell ref="H8:H9"/>
    <mergeCell ref="I8:I9"/>
    <mergeCell ref="J8:P9"/>
    <mergeCell ref="A6:C7"/>
    <mergeCell ref="D6:E7"/>
    <mergeCell ref="F6:G7"/>
    <mergeCell ref="H6:H7"/>
    <mergeCell ref="I6:I7"/>
    <mergeCell ref="J6:P7"/>
    <mergeCell ref="A4:C5"/>
    <mergeCell ref="D4:E5"/>
    <mergeCell ref="F4:G5"/>
    <mergeCell ref="H4:H5"/>
    <mergeCell ref="I4:I5"/>
    <mergeCell ref="J4:P5"/>
    <mergeCell ref="A1:P1"/>
    <mergeCell ref="A2:C3"/>
    <mergeCell ref="D2:E3"/>
    <mergeCell ref="F2:G3"/>
    <mergeCell ref="H2:H3"/>
    <mergeCell ref="I2:I3"/>
    <mergeCell ref="J2:P3"/>
  </mergeCells>
  <pageMargins left="0.39374999999999999" right="0.39374999999999999" top="0.59097222222222223" bottom="0.59097222222222223" header="0.51180555555555551" footer="0.51180555555555551"/>
  <pageSetup firstPageNumber="0" fitToHeight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C6" sqref="C6:D7"/>
    </sheetView>
  </sheetViews>
  <sheetFormatPr defaultColWidth="12.140625" defaultRowHeight="15" customHeight="1" x14ac:dyDescent="0.25"/>
  <cols>
    <col min="1" max="1" width="12.5703125" style="1" customWidth="1"/>
    <col min="2" max="2" width="13" style="1" customWidth="1"/>
    <col min="3" max="3" width="27.28515625" style="1" customWidth="1"/>
    <col min="4" max="4" width="10" style="1" customWidth="1"/>
    <col min="5" max="5" width="14.140625" style="1" customWidth="1"/>
    <col min="6" max="6" width="27.28515625" style="1" customWidth="1"/>
    <col min="7" max="7" width="12.5703125" style="1" customWidth="1"/>
    <col min="8" max="8" width="13" style="1" customWidth="1"/>
    <col min="9" max="9" width="27.28515625" style="1" customWidth="1"/>
  </cols>
  <sheetData>
    <row r="1" spans="1:9" ht="54.75" customHeight="1" x14ac:dyDescent="0.2">
      <c r="A1" s="77" t="s">
        <v>333</v>
      </c>
      <c r="B1" s="77"/>
      <c r="C1" s="77"/>
      <c r="D1" s="77"/>
      <c r="E1" s="77"/>
      <c r="F1" s="77"/>
      <c r="G1" s="77"/>
      <c r="H1" s="77"/>
      <c r="I1" s="77"/>
    </row>
    <row r="2" spans="1:9" ht="12.75" customHeight="1" x14ac:dyDescent="0.2">
      <c r="A2" s="59" t="s">
        <v>1</v>
      </c>
      <c r="B2" s="59"/>
      <c r="C2" s="60" t="str">
        <f>'Stavební rozpočet'!D2</f>
        <v>Ozdravná protiradonová opatření v MŠ Svojsíkova, Šluknov</v>
      </c>
      <c r="D2" s="60"/>
      <c r="E2" s="62" t="s">
        <v>5</v>
      </c>
      <c r="F2" s="62" t="str">
        <f>'Stavební rozpočet'!J2</f>
        <v>Město Šluknov, nám.Míru 1, 407 77 Šluknov</v>
      </c>
      <c r="G2" s="62"/>
      <c r="H2" s="62" t="s">
        <v>334</v>
      </c>
      <c r="I2" s="78" t="s">
        <v>335</v>
      </c>
    </row>
    <row r="3" spans="1:9" ht="15" customHeight="1" x14ac:dyDescent="0.2">
      <c r="A3" s="59"/>
      <c r="B3" s="59"/>
      <c r="C3" s="60"/>
      <c r="D3" s="60"/>
      <c r="E3" s="62"/>
      <c r="F3" s="62"/>
      <c r="G3" s="62"/>
      <c r="H3" s="62"/>
      <c r="I3" s="78"/>
    </row>
    <row r="4" spans="1:9" ht="12.75" customHeight="1" x14ac:dyDescent="0.2">
      <c r="A4" s="64" t="s">
        <v>7</v>
      </c>
      <c r="B4" s="64"/>
      <c r="C4" s="65" t="str">
        <f>'Stavební rozpočet'!D4</f>
        <v>Ozdravná protiradonová opatření</v>
      </c>
      <c r="D4" s="65"/>
      <c r="E4" s="65" t="s">
        <v>10</v>
      </c>
      <c r="F4" s="65" t="str">
        <f>'Stavební rozpočet'!J4</f>
        <v>Proton plus s.r.o.,m Zeyerova 855/15, 779 00 Olomouc</v>
      </c>
      <c r="G4" s="65"/>
      <c r="H4" s="65" t="s">
        <v>334</v>
      </c>
      <c r="I4" s="68" t="s">
        <v>336</v>
      </c>
    </row>
    <row r="5" spans="1:9" ht="15" customHeight="1" x14ac:dyDescent="0.2">
      <c r="A5" s="64"/>
      <c r="B5" s="64"/>
      <c r="C5" s="65"/>
      <c r="D5" s="65"/>
      <c r="E5" s="65"/>
      <c r="F5" s="65"/>
      <c r="G5" s="65"/>
      <c r="H5" s="65"/>
      <c r="I5" s="68"/>
    </row>
    <row r="6" spans="1:9" ht="12.75" customHeight="1" x14ac:dyDescent="0.2">
      <c r="A6" s="64" t="s">
        <v>12</v>
      </c>
      <c r="B6" s="64"/>
      <c r="C6" s="65" t="str">
        <f>'Stavební rozpočet'!D6</f>
        <v>Šluknov</v>
      </c>
      <c r="D6" s="65"/>
      <c r="E6" s="65" t="s">
        <v>15</v>
      </c>
      <c r="F6" s="65" t="str">
        <f>'Stavební rozpočet'!J6</f>
        <v> </v>
      </c>
      <c r="G6" s="65"/>
      <c r="H6" s="65" t="s">
        <v>334</v>
      </c>
      <c r="I6" s="68"/>
    </row>
    <row r="7" spans="1:9" ht="15" customHeight="1" x14ac:dyDescent="0.2">
      <c r="A7" s="64"/>
      <c r="B7" s="64"/>
      <c r="C7" s="65"/>
      <c r="D7" s="65"/>
      <c r="E7" s="65"/>
      <c r="F7" s="65"/>
      <c r="G7" s="65"/>
      <c r="H7" s="65"/>
      <c r="I7" s="68"/>
    </row>
    <row r="8" spans="1:9" ht="12.75" customHeight="1" x14ac:dyDescent="0.2">
      <c r="A8" s="64" t="s">
        <v>9</v>
      </c>
      <c r="B8" s="64"/>
      <c r="C8" s="65">
        <f>'Stavební rozpočet'!H4</f>
        <v>0</v>
      </c>
      <c r="D8" s="65"/>
      <c r="E8" s="65" t="s">
        <v>14</v>
      </c>
      <c r="F8" s="65" t="str">
        <f>'Stavební rozpočet'!H6</f>
        <v xml:space="preserve"> </v>
      </c>
      <c r="G8" s="65"/>
      <c r="H8" s="66" t="s">
        <v>337</v>
      </c>
      <c r="I8" s="79">
        <v>65</v>
      </c>
    </row>
    <row r="9" spans="1:9" ht="12.75" x14ac:dyDescent="0.2">
      <c r="A9" s="64"/>
      <c r="B9" s="64"/>
      <c r="C9" s="65"/>
      <c r="D9" s="65"/>
      <c r="E9" s="65"/>
      <c r="F9" s="65"/>
      <c r="G9" s="65"/>
      <c r="H9" s="66"/>
      <c r="I9" s="79"/>
    </row>
    <row r="10" spans="1:9" ht="12.75" customHeight="1" x14ac:dyDescent="0.2">
      <c r="A10" s="80" t="s">
        <v>17</v>
      </c>
      <c r="B10" s="80"/>
      <c r="C10" s="75" t="str">
        <f>'Stavební rozpočet'!D8</f>
        <v xml:space="preserve"> </v>
      </c>
      <c r="D10" s="75"/>
      <c r="E10" s="75" t="s">
        <v>19</v>
      </c>
      <c r="F10" s="75" t="str">
        <f>'Stavební rozpočet'!J8</f>
        <v>Ing.Jiří Ruprecht</v>
      </c>
      <c r="G10" s="75"/>
      <c r="H10" s="81" t="s">
        <v>338</v>
      </c>
      <c r="I10" s="82">
        <f>'Stavební rozpočet'!H8</f>
        <v>45407</v>
      </c>
    </row>
    <row r="11" spans="1:9" ht="12.75" x14ac:dyDescent="0.2">
      <c r="A11" s="80"/>
      <c r="B11" s="80"/>
      <c r="C11" s="75"/>
      <c r="D11" s="75"/>
      <c r="E11" s="75"/>
      <c r="F11" s="75"/>
      <c r="G11" s="75"/>
      <c r="H11" s="81"/>
      <c r="I11" s="82"/>
    </row>
    <row r="12" spans="1:9" ht="23.25" x14ac:dyDescent="0.2">
      <c r="A12" s="83" t="s">
        <v>339</v>
      </c>
      <c r="B12" s="83"/>
      <c r="C12" s="83"/>
      <c r="D12" s="83"/>
      <c r="E12" s="83"/>
      <c r="F12" s="83"/>
      <c r="G12" s="83"/>
      <c r="H12" s="83"/>
      <c r="I12" s="83"/>
    </row>
    <row r="13" spans="1:9" ht="26.25" customHeight="1" x14ac:dyDescent="0.2">
      <c r="A13" s="37" t="s">
        <v>340</v>
      </c>
      <c r="B13" s="84" t="s">
        <v>341</v>
      </c>
      <c r="C13" s="84"/>
      <c r="D13" s="38" t="s">
        <v>342</v>
      </c>
      <c r="E13" s="84" t="s">
        <v>343</v>
      </c>
      <c r="F13" s="84"/>
      <c r="G13" s="38" t="s">
        <v>344</v>
      </c>
      <c r="H13" s="84" t="s">
        <v>345</v>
      </c>
      <c r="I13" s="84"/>
    </row>
    <row r="14" spans="1:9" ht="15.75" x14ac:dyDescent="0.2">
      <c r="A14" s="39" t="s">
        <v>346</v>
      </c>
      <c r="B14" s="40" t="s">
        <v>347</v>
      </c>
      <c r="C14" s="41">
        <f>SUM('Stavební rozpočet'!AB12:AB99)</f>
        <v>0</v>
      </c>
      <c r="D14" s="85" t="s">
        <v>348</v>
      </c>
      <c r="E14" s="85"/>
      <c r="F14" s="41">
        <f>VORN!I15</f>
        <v>0</v>
      </c>
      <c r="G14" s="85" t="s">
        <v>349</v>
      </c>
      <c r="H14" s="85"/>
      <c r="I14" s="41">
        <f>VORN!I25</f>
        <v>0</v>
      </c>
    </row>
    <row r="15" spans="1:9" ht="15.75" x14ac:dyDescent="0.2">
      <c r="A15" s="42"/>
      <c r="B15" s="40" t="s">
        <v>38</v>
      </c>
      <c r="C15" s="41">
        <f>SUM('Stavební rozpočet'!AC12:AC99)</f>
        <v>0</v>
      </c>
      <c r="D15" s="85" t="s">
        <v>350</v>
      </c>
      <c r="E15" s="85"/>
      <c r="F15" s="41">
        <f>VORN!I16</f>
        <v>0</v>
      </c>
      <c r="G15" s="85" t="s">
        <v>351</v>
      </c>
      <c r="H15" s="85"/>
      <c r="I15" s="43">
        <f>VORN!I26</f>
        <v>0</v>
      </c>
    </row>
    <row r="16" spans="1:9" ht="15.75" x14ac:dyDescent="0.2">
      <c r="A16" s="39" t="s">
        <v>352</v>
      </c>
      <c r="B16" s="40" t="s">
        <v>347</v>
      </c>
      <c r="C16" s="41">
        <f>SUM('Stavební rozpočet'!AD12:AD99)</f>
        <v>0</v>
      </c>
      <c r="D16" s="85" t="s">
        <v>353</v>
      </c>
      <c r="E16" s="85"/>
      <c r="F16" s="41">
        <f>VORN!I17</f>
        <v>0</v>
      </c>
      <c r="G16" s="85" t="s">
        <v>354</v>
      </c>
      <c r="H16" s="85"/>
      <c r="I16" s="43">
        <f>VORN!I27</f>
        <v>0</v>
      </c>
    </row>
    <row r="17" spans="1:9" ht="15.75" x14ac:dyDescent="0.2">
      <c r="A17" s="42"/>
      <c r="B17" s="40" t="s">
        <v>38</v>
      </c>
      <c r="C17" s="41">
        <f>SUM('Stavební rozpočet'!AE12:AE99)</f>
        <v>0</v>
      </c>
      <c r="D17" s="85" t="s">
        <v>355</v>
      </c>
      <c r="E17" s="85"/>
      <c r="F17" s="41">
        <v>0</v>
      </c>
      <c r="G17" s="85" t="s">
        <v>356</v>
      </c>
      <c r="H17" s="85"/>
      <c r="I17" s="43">
        <v>0</v>
      </c>
    </row>
    <row r="18" spans="1:9" ht="15.75" x14ac:dyDescent="0.2">
      <c r="A18" s="39" t="s">
        <v>357</v>
      </c>
      <c r="B18" s="40" t="s">
        <v>347</v>
      </c>
      <c r="C18" s="41">
        <f>SUM('Stavební rozpočet'!AF12:AF99)</f>
        <v>0</v>
      </c>
      <c r="D18" s="85" t="s">
        <v>358</v>
      </c>
      <c r="E18" s="85"/>
      <c r="F18" s="41">
        <v>0</v>
      </c>
      <c r="G18" s="85" t="s">
        <v>359</v>
      </c>
      <c r="H18" s="85"/>
      <c r="I18" s="43">
        <f>VORN!I29</f>
        <v>0</v>
      </c>
    </row>
    <row r="19" spans="1:9" ht="15.75" x14ac:dyDescent="0.2">
      <c r="A19" s="42"/>
      <c r="B19" s="40" t="s">
        <v>38</v>
      </c>
      <c r="C19" s="41">
        <f>SUM('Stavební rozpočet'!AG12:AG99)</f>
        <v>0</v>
      </c>
      <c r="D19" s="85" t="s">
        <v>360</v>
      </c>
      <c r="E19" s="85"/>
      <c r="F19" s="41">
        <v>0</v>
      </c>
      <c r="G19" s="85" t="s">
        <v>361</v>
      </c>
      <c r="H19" s="85"/>
      <c r="I19" s="43">
        <f>VORN!I30</f>
        <v>0</v>
      </c>
    </row>
    <row r="20" spans="1:9" ht="15.75" x14ac:dyDescent="0.2">
      <c r="A20" s="86" t="s">
        <v>362</v>
      </c>
      <c r="B20" s="86"/>
      <c r="C20" s="41">
        <f>SUM('Stavební rozpočet'!AH12:AH99)</f>
        <v>0</v>
      </c>
      <c r="D20" s="85" t="s">
        <v>363</v>
      </c>
      <c r="E20" s="85"/>
      <c r="F20" s="41">
        <f>VORN!I21</f>
        <v>15000</v>
      </c>
      <c r="G20" s="85"/>
      <c r="H20" s="85"/>
      <c r="I20" s="44"/>
    </row>
    <row r="21" spans="1:9" ht="15.75" x14ac:dyDescent="0.2">
      <c r="A21" s="87" t="s">
        <v>364</v>
      </c>
      <c r="B21" s="87"/>
      <c r="C21" s="45">
        <f>SUM('Stavební rozpočet'!Z12:Z99)</f>
        <v>0</v>
      </c>
      <c r="D21" s="88"/>
      <c r="E21" s="88"/>
      <c r="F21" s="46"/>
      <c r="G21" s="88"/>
      <c r="H21" s="88"/>
      <c r="I21" s="46"/>
    </row>
    <row r="22" spans="1:9" ht="16.5" customHeight="1" x14ac:dyDescent="0.2">
      <c r="A22" s="89" t="s">
        <v>365</v>
      </c>
      <c r="B22" s="89"/>
      <c r="C22" s="43">
        <f>SUM(C14:C21)</f>
        <v>0</v>
      </c>
      <c r="D22" s="90" t="s">
        <v>366</v>
      </c>
      <c r="E22" s="90"/>
      <c r="F22" s="43">
        <f>SUM(F14:F21)</f>
        <v>15000</v>
      </c>
      <c r="G22" s="90" t="s">
        <v>367</v>
      </c>
      <c r="H22" s="90"/>
      <c r="I22" s="43">
        <f>SUM(I14:I21)</f>
        <v>0</v>
      </c>
    </row>
    <row r="23" spans="1:9" ht="15.75" x14ac:dyDescent="0.25">
      <c r="D23" s="86" t="s">
        <v>368</v>
      </c>
      <c r="E23" s="86"/>
      <c r="F23" s="47">
        <v>0</v>
      </c>
      <c r="G23" s="91" t="s">
        <v>369</v>
      </c>
      <c r="H23" s="91"/>
      <c r="I23" s="41">
        <v>0</v>
      </c>
    </row>
    <row r="24" spans="1:9" ht="15.75" x14ac:dyDescent="0.25">
      <c r="G24" s="86" t="s">
        <v>370</v>
      </c>
      <c r="H24" s="86"/>
      <c r="I24" s="43">
        <f>vorn_sum</f>
        <v>0</v>
      </c>
    </row>
    <row r="25" spans="1:9" ht="15.75" x14ac:dyDescent="0.25">
      <c r="G25" s="86" t="s">
        <v>371</v>
      </c>
      <c r="H25" s="86"/>
      <c r="I25" s="43">
        <v>0</v>
      </c>
    </row>
    <row r="27" spans="1:9" ht="15.75" x14ac:dyDescent="0.25">
      <c r="A27" s="92" t="s">
        <v>372</v>
      </c>
      <c r="B27" s="92"/>
      <c r="C27" s="48">
        <f>SUM('Stavební rozpočet'!AJ12:AJ99)</f>
        <v>0</v>
      </c>
    </row>
    <row r="28" spans="1:9" ht="15.75" x14ac:dyDescent="0.2">
      <c r="A28" s="93" t="s">
        <v>373</v>
      </c>
      <c r="B28" s="93"/>
      <c r="C28" s="49">
        <f>SUM('Stavební rozpočet'!AK12:AK99)</f>
        <v>0</v>
      </c>
      <c r="D28" s="94" t="s">
        <v>374</v>
      </c>
      <c r="E28" s="94"/>
      <c r="F28" s="48">
        <f>ROUND(C28*(12/100),2)</f>
        <v>0</v>
      </c>
      <c r="G28" s="94" t="s">
        <v>375</v>
      </c>
      <c r="H28" s="94"/>
      <c r="I28" s="48">
        <f>SUM(C27:C29)</f>
        <v>15000</v>
      </c>
    </row>
    <row r="29" spans="1:9" ht="15.75" x14ac:dyDescent="0.2">
      <c r="A29" s="93" t="s">
        <v>376</v>
      </c>
      <c r="B29" s="93"/>
      <c r="C29" s="49">
        <f>SUM('Stavební rozpočet'!AL12:AL99)+(F22+I22+F23+I23+I24+I25)</f>
        <v>15000</v>
      </c>
      <c r="D29" s="95" t="s">
        <v>377</v>
      </c>
      <c r="E29" s="95"/>
      <c r="F29" s="49">
        <f>ROUND(C29*(21/100),2)</f>
        <v>3150</v>
      </c>
      <c r="G29" s="95" t="s">
        <v>378</v>
      </c>
      <c r="H29" s="95"/>
      <c r="I29" s="49">
        <f>SUM(F28:F29)+I28</f>
        <v>18150</v>
      </c>
    </row>
    <row r="31" spans="1:9" x14ac:dyDescent="0.2">
      <c r="A31" s="96" t="s">
        <v>379</v>
      </c>
      <c r="B31" s="96"/>
      <c r="C31" s="96"/>
      <c r="D31" s="97" t="s">
        <v>380</v>
      </c>
      <c r="E31" s="97"/>
      <c r="F31" s="97"/>
      <c r="G31" s="97" t="s">
        <v>381</v>
      </c>
      <c r="H31" s="97"/>
      <c r="I31" s="97"/>
    </row>
    <row r="32" spans="1:9" x14ac:dyDescent="0.2">
      <c r="A32" s="98"/>
      <c r="B32" s="98"/>
      <c r="C32" s="98"/>
      <c r="D32" s="99"/>
      <c r="E32" s="99"/>
      <c r="F32" s="99"/>
      <c r="G32" s="99"/>
      <c r="H32" s="99"/>
      <c r="I32" s="99"/>
    </row>
    <row r="33" spans="1:9" x14ac:dyDescent="0.2">
      <c r="A33" s="98"/>
      <c r="B33" s="98"/>
      <c r="C33" s="98"/>
      <c r="D33" s="99"/>
      <c r="E33" s="99"/>
      <c r="F33" s="99"/>
      <c r="G33" s="99"/>
      <c r="H33" s="99"/>
      <c r="I33" s="99"/>
    </row>
    <row r="34" spans="1:9" x14ac:dyDescent="0.2">
      <c r="A34" s="98"/>
      <c r="B34" s="98"/>
      <c r="C34" s="98"/>
      <c r="D34" s="99"/>
      <c r="E34" s="99"/>
      <c r="F34" s="99"/>
      <c r="G34" s="99"/>
      <c r="H34" s="99"/>
      <c r="I34" s="99"/>
    </row>
    <row r="35" spans="1:9" x14ac:dyDescent="0.2">
      <c r="A35" s="100" t="s">
        <v>382</v>
      </c>
      <c r="B35" s="100"/>
      <c r="C35" s="100"/>
      <c r="D35" s="101" t="s">
        <v>382</v>
      </c>
      <c r="E35" s="101"/>
      <c r="F35" s="101"/>
      <c r="G35" s="101" t="s">
        <v>382</v>
      </c>
      <c r="H35" s="101"/>
      <c r="I35" s="101"/>
    </row>
    <row r="36" spans="1:9" x14ac:dyDescent="0.25">
      <c r="A36" s="36" t="s">
        <v>332</v>
      </c>
    </row>
    <row r="37" spans="1:9" ht="12.75" customHeight="1" x14ac:dyDescent="0.2">
      <c r="A37" s="65"/>
      <c r="B37" s="65"/>
      <c r="C37" s="65"/>
      <c r="D37" s="65"/>
      <c r="E37" s="65"/>
      <c r="F37" s="65"/>
      <c r="G37" s="65"/>
      <c r="H37" s="65"/>
      <c r="I37" s="65"/>
    </row>
  </sheetData>
  <sheetProtection selectLockedCells="1" selectUnlockedCell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23" bottom="0.59097222222222223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A40" sqref="A40"/>
    </sheetView>
  </sheetViews>
  <sheetFormatPr defaultColWidth="12.140625" defaultRowHeight="15" customHeight="1" x14ac:dyDescent="0.25"/>
  <cols>
    <col min="1" max="1" width="12.5703125" style="1" customWidth="1"/>
    <col min="2" max="2" width="13" style="1" customWidth="1"/>
    <col min="3" max="3" width="23" style="1" customWidth="1"/>
    <col min="4" max="4" width="10" style="1" customWidth="1"/>
    <col min="5" max="5" width="14.140625" style="1" customWidth="1"/>
    <col min="6" max="6" width="23" style="1" customWidth="1"/>
    <col min="7" max="7" width="12.5703125" style="1" customWidth="1"/>
    <col min="8" max="8" width="17.28515625" style="1" customWidth="1"/>
    <col min="9" max="9" width="23" style="1" customWidth="1"/>
  </cols>
  <sheetData>
    <row r="1" spans="1:9" ht="54.75" customHeight="1" x14ac:dyDescent="0.2">
      <c r="A1" s="77" t="s">
        <v>383</v>
      </c>
      <c r="B1" s="77"/>
      <c r="C1" s="77"/>
      <c r="D1" s="77"/>
      <c r="E1" s="77"/>
      <c r="F1" s="77"/>
      <c r="G1" s="77"/>
      <c r="H1" s="77"/>
      <c r="I1" s="77"/>
    </row>
    <row r="2" spans="1:9" ht="12.75" customHeight="1" x14ac:dyDescent="0.2">
      <c r="A2" s="59" t="s">
        <v>1</v>
      </c>
      <c r="B2" s="59"/>
      <c r="C2" s="60" t="str">
        <f>'Stavební rozpočet'!D2</f>
        <v>Ozdravná protiradonová opatření v MŠ Svojsíkova, Šluknov</v>
      </c>
      <c r="D2" s="60"/>
      <c r="E2" s="62" t="s">
        <v>5</v>
      </c>
      <c r="F2" s="62" t="str">
        <f>'Stavební rozpočet'!J2</f>
        <v>Město Šluknov, nám.Míru 1, 407 77 Šluknov</v>
      </c>
      <c r="G2" s="62"/>
      <c r="H2" s="62" t="s">
        <v>334</v>
      </c>
      <c r="I2" s="78" t="s">
        <v>335</v>
      </c>
    </row>
    <row r="3" spans="1:9" ht="15" customHeight="1" x14ac:dyDescent="0.2">
      <c r="A3" s="59"/>
      <c r="B3" s="59"/>
      <c r="C3" s="60"/>
      <c r="D3" s="60"/>
      <c r="E3" s="62"/>
      <c r="F3" s="62"/>
      <c r="G3" s="62"/>
      <c r="H3" s="62"/>
      <c r="I3" s="78"/>
    </row>
    <row r="4" spans="1:9" ht="12.75" customHeight="1" x14ac:dyDescent="0.2">
      <c r="A4" s="64" t="s">
        <v>7</v>
      </c>
      <c r="B4" s="64"/>
      <c r="C4" s="65" t="str">
        <f>'Stavební rozpočet'!D4</f>
        <v>Ozdravná protiradonová opatření</v>
      </c>
      <c r="D4" s="65"/>
      <c r="E4" s="65" t="s">
        <v>10</v>
      </c>
      <c r="F4" s="65" t="str">
        <f>'Stavební rozpočet'!J4</f>
        <v>Proton plus s.r.o.,m Zeyerova 855/15, 779 00 Olomouc</v>
      </c>
      <c r="G4" s="65"/>
      <c r="H4" s="65" t="s">
        <v>334</v>
      </c>
      <c r="I4" s="68" t="s">
        <v>336</v>
      </c>
    </row>
    <row r="5" spans="1:9" ht="15" customHeight="1" x14ac:dyDescent="0.2">
      <c r="A5" s="64"/>
      <c r="B5" s="64"/>
      <c r="C5" s="65"/>
      <c r="D5" s="65"/>
      <c r="E5" s="65"/>
      <c r="F5" s="65"/>
      <c r="G5" s="65"/>
      <c r="H5" s="65"/>
      <c r="I5" s="68"/>
    </row>
    <row r="6" spans="1:9" ht="12.75" customHeight="1" x14ac:dyDescent="0.2">
      <c r="A6" s="64" t="s">
        <v>12</v>
      </c>
      <c r="B6" s="64"/>
      <c r="C6" s="65" t="str">
        <f>'Stavební rozpočet'!D6</f>
        <v>Šluknov</v>
      </c>
      <c r="D6" s="65"/>
      <c r="E6" s="65" t="s">
        <v>15</v>
      </c>
      <c r="F6" s="65" t="str">
        <f>'Stavební rozpočet'!J6</f>
        <v> </v>
      </c>
      <c r="G6" s="65"/>
      <c r="H6" s="65" t="s">
        <v>334</v>
      </c>
      <c r="I6" s="68"/>
    </row>
    <row r="7" spans="1:9" ht="15" customHeight="1" x14ac:dyDescent="0.2">
      <c r="A7" s="64"/>
      <c r="B7" s="64"/>
      <c r="C7" s="65"/>
      <c r="D7" s="65"/>
      <c r="E7" s="65"/>
      <c r="F7" s="65"/>
      <c r="G7" s="65"/>
      <c r="H7" s="65"/>
      <c r="I7" s="68"/>
    </row>
    <row r="8" spans="1:9" ht="12.75" customHeight="1" x14ac:dyDescent="0.2">
      <c r="A8" s="64" t="s">
        <v>9</v>
      </c>
      <c r="B8" s="64"/>
      <c r="C8" s="65">
        <f>'Stavební rozpočet'!H4</f>
        <v>0</v>
      </c>
      <c r="D8" s="65"/>
      <c r="E8" s="65" t="s">
        <v>14</v>
      </c>
      <c r="F8" s="65" t="str">
        <f>'Stavební rozpočet'!H6</f>
        <v xml:space="preserve"> </v>
      </c>
      <c r="G8" s="65"/>
      <c r="H8" s="66" t="s">
        <v>337</v>
      </c>
      <c r="I8" s="79">
        <v>65</v>
      </c>
    </row>
    <row r="9" spans="1:9" ht="12.75" x14ac:dyDescent="0.2">
      <c r="A9" s="64"/>
      <c r="B9" s="64"/>
      <c r="C9" s="65"/>
      <c r="D9" s="65"/>
      <c r="E9" s="65"/>
      <c r="F9" s="65"/>
      <c r="G9" s="65"/>
      <c r="H9" s="66"/>
      <c r="I9" s="79"/>
    </row>
    <row r="10" spans="1:9" ht="12.75" customHeight="1" x14ac:dyDescent="0.2">
      <c r="A10" s="80" t="s">
        <v>17</v>
      </c>
      <c r="B10" s="80"/>
      <c r="C10" s="75" t="str">
        <f>'Stavební rozpočet'!D8</f>
        <v xml:space="preserve"> </v>
      </c>
      <c r="D10" s="75"/>
      <c r="E10" s="75" t="s">
        <v>19</v>
      </c>
      <c r="F10" s="75" t="str">
        <f>'Stavební rozpočet'!J8</f>
        <v>Ing.Jiří Ruprecht</v>
      </c>
      <c r="G10" s="75"/>
      <c r="H10" s="81" t="s">
        <v>338</v>
      </c>
      <c r="I10" s="82">
        <f>'Stavební rozpočet'!H8</f>
        <v>45407</v>
      </c>
    </row>
    <row r="11" spans="1:9" ht="12.75" x14ac:dyDescent="0.2">
      <c r="A11" s="80"/>
      <c r="B11" s="80"/>
      <c r="C11" s="75"/>
      <c r="D11" s="75"/>
      <c r="E11" s="75"/>
      <c r="F11" s="75"/>
      <c r="G11" s="75"/>
      <c r="H11" s="81"/>
      <c r="I11" s="82"/>
    </row>
    <row r="13" spans="1:9" ht="15.75" x14ac:dyDescent="0.25">
      <c r="A13" s="102" t="s">
        <v>384</v>
      </c>
      <c r="B13" s="102"/>
      <c r="C13" s="102"/>
      <c r="D13" s="102"/>
      <c r="E13" s="102"/>
    </row>
    <row r="14" spans="1:9" ht="12.75" x14ac:dyDescent="0.2">
      <c r="A14" s="103" t="s">
        <v>385</v>
      </c>
      <c r="B14" s="103"/>
      <c r="C14" s="103"/>
      <c r="D14" s="103"/>
      <c r="E14" s="103"/>
      <c r="F14" s="50" t="s">
        <v>386</v>
      </c>
      <c r="G14" s="50" t="s">
        <v>276</v>
      </c>
      <c r="H14" s="50" t="s">
        <v>387</v>
      </c>
      <c r="I14" s="50" t="s">
        <v>386</v>
      </c>
    </row>
    <row r="15" spans="1:9" ht="12.75" x14ac:dyDescent="0.2">
      <c r="A15" s="104" t="s">
        <v>348</v>
      </c>
      <c r="B15" s="104"/>
      <c r="C15" s="104"/>
      <c r="D15" s="104"/>
      <c r="E15" s="104"/>
      <c r="F15" s="51">
        <v>0</v>
      </c>
      <c r="G15" s="52"/>
      <c r="H15" s="52"/>
      <c r="I15" s="51">
        <f t="shared" ref="I15:I21" si="0">F15</f>
        <v>0</v>
      </c>
    </row>
    <row r="16" spans="1:9" ht="12.75" x14ac:dyDescent="0.2">
      <c r="A16" s="104" t="s">
        <v>350</v>
      </c>
      <c r="B16" s="104"/>
      <c r="C16" s="104"/>
      <c r="D16" s="104"/>
      <c r="E16" s="104"/>
      <c r="F16" s="51">
        <v>0</v>
      </c>
      <c r="G16" s="52"/>
      <c r="H16" s="52"/>
      <c r="I16" s="53">
        <f t="shared" si="0"/>
        <v>0</v>
      </c>
    </row>
    <row r="17" spans="1:9" ht="12.75" x14ac:dyDescent="0.2">
      <c r="A17" s="104" t="s">
        <v>353</v>
      </c>
      <c r="B17" s="104"/>
      <c r="C17" s="104"/>
      <c r="D17" s="104"/>
      <c r="E17" s="104"/>
      <c r="F17" s="51">
        <v>0</v>
      </c>
      <c r="G17" s="52"/>
      <c r="H17" s="52"/>
      <c r="I17" s="53">
        <f t="shared" si="0"/>
        <v>0</v>
      </c>
    </row>
    <row r="18" spans="1:9" ht="12.75" x14ac:dyDescent="0.2">
      <c r="A18" s="104" t="s">
        <v>355</v>
      </c>
      <c r="B18" s="104"/>
      <c r="C18" s="104"/>
      <c r="D18" s="104"/>
      <c r="E18" s="104"/>
      <c r="F18" s="51">
        <v>23000</v>
      </c>
      <c r="G18" s="52"/>
      <c r="H18" s="52"/>
      <c r="I18" s="53">
        <f t="shared" si="0"/>
        <v>23000</v>
      </c>
    </row>
    <row r="19" spans="1:9" ht="12.75" x14ac:dyDescent="0.2">
      <c r="A19" s="104" t="s">
        <v>358</v>
      </c>
      <c r="B19" s="104"/>
      <c r="C19" s="104"/>
      <c r="D19" s="104"/>
      <c r="E19" s="104"/>
      <c r="F19" s="51">
        <v>8000</v>
      </c>
      <c r="G19" s="52"/>
      <c r="H19" s="52"/>
      <c r="I19" s="53">
        <f t="shared" si="0"/>
        <v>8000</v>
      </c>
    </row>
    <row r="20" spans="1:9" ht="12.75" x14ac:dyDescent="0.2">
      <c r="A20" s="104" t="s">
        <v>360</v>
      </c>
      <c r="B20" s="104"/>
      <c r="C20" s="104"/>
      <c r="D20" s="104"/>
      <c r="E20" s="104"/>
      <c r="F20" s="51">
        <v>17000</v>
      </c>
      <c r="G20" s="52"/>
      <c r="H20" s="52"/>
      <c r="I20" s="53">
        <f t="shared" si="0"/>
        <v>17000</v>
      </c>
    </row>
    <row r="21" spans="1:9" ht="12.75" x14ac:dyDescent="0.2">
      <c r="A21" s="105" t="s">
        <v>363</v>
      </c>
      <c r="B21" s="105"/>
      <c r="C21" s="105"/>
      <c r="D21" s="105"/>
      <c r="E21" s="105"/>
      <c r="F21" s="54">
        <v>15000</v>
      </c>
      <c r="G21" s="5"/>
      <c r="H21" s="5"/>
      <c r="I21" s="54">
        <f t="shared" si="0"/>
        <v>15000</v>
      </c>
    </row>
    <row r="22" spans="1:9" ht="12.75" x14ac:dyDescent="0.2">
      <c r="A22" s="106" t="s">
        <v>388</v>
      </c>
      <c r="B22" s="106"/>
      <c r="C22" s="106"/>
      <c r="D22" s="106"/>
      <c r="E22" s="106"/>
      <c r="F22" s="55"/>
      <c r="G22" s="56"/>
      <c r="H22" s="56"/>
      <c r="I22" s="57">
        <f>SUM(I15:I21)</f>
        <v>63000</v>
      </c>
    </row>
    <row r="24" spans="1:9" ht="12.75" x14ac:dyDescent="0.2">
      <c r="A24" s="103" t="s">
        <v>345</v>
      </c>
      <c r="B24" s="103"/>
      <c r="C24" s="103"/>
      <c r="D24" s="103"/>
      <c r="E24" s="103"/>
      <c r="F24" s="50" t="s">
        <v>386</v>
      </c>
      <c r="G24" s="50" t="s">
        <v>276</v>
      </c>
      <c r="H24" s="50" t="s">
        <v>387</v>
      </c>
      <c r="I24" s="50" t="s">
        <v>386</v>
      </c>
    </row>
    <row r="25" spans="1:9" ht="12.75" x14ac:dyDescent="0.2">
      <c r="A25" s="104" t="s">
        <v>349</v>
      </c>
      <c r="B25" s="104"/>
      <c r="C25" s="104"/>
      <c r="D25" s="104"/>
      <c r="E25" s="104"/>
      <c r="F25" s="52"/>
      <c r="G25" s="51">
        <v>3.6</v>
      </c>
      <c r="H25" s="51">
        <f>'Krycí list rozpočtu'!C22</f>
        <v>0</v>
      </c>
      <c r="I25" s="51">
        <f>ROUND((G25/100)*H25,2)</f>
        <v>0</v>
      </c>
    </row>
    <row r="26" spans="1:9" ht="12.75" x14ac:dyDescent="0.2">
      <c r="A26" s="104" t="s">
        <v>351</v>
      </c>
      <c r="B26" s="104"/>
      <c r="C26" s="104"/>
      <c r="D26" s="104"/>
      <c r="E26" s="104"/>
      <c r="F26" s="51">
        <v>0</v>
      </c>
      <c r="G26" s="52"/>
      <c r="H26" s="52"/>
      <c r="I26" s="53">
        <f>F26</f>
        <v>0</v>
      </c>
    </row>
    <row r="27" spans="1:9" ht="12.75" x14ac:dyDescent="0.2">
      <c r="A27" s="104" t="s">
        <v>354</v>
      </c>
      <c r="B27" s="104"/>
      <c r="C27" s="104"/>
      <c r="D27" s="104"/>
      <c r="E27" s="104"/>
      <c r="F27" s="51">
        <v>0</v>
      </c>
      <c r="G27" s="52"/>
      <c r="H27" s="52"/>
      <c r="I27" s="53">
        <f>F27</f>
        <v>0</v>
      </c>
    </row>
    <row r="28" spans="1:9" ht="12.75" x14ac:dyDescent="0.2">
      <c r="A28" s="104" t="s">
        <v>356</v>
      </c>
      <c r="B28" s="104"/>
      <c r="C28" s="104"/>
      <c r="D28" s="104"/>
      <c r="E28" s="104"/>
      <c r="F28" s="51">
        <v>10000</v>
      </c>
      <c r="G28" s="52"/>
      <c r="H28" s="52"/>
      <c r="I28" s="53">
        <f>F28</f>
        <v>10000</v>
      </c>
    </row>
    <row r="29" spans="1:9" ht="12.75" x14ac:dyDescent="0.2">
      <c r="A29" s="104" t="s">
        <v>359</v>
      </c>
      <c r="B29" s="104"/>
      <c r="C29" s="104"/>
      <c r="D29" s="104"/>
      <c r="E29" s="104"/>
      <c r="F29" s="51">
        <v>0</v>
      </c>
      <c r="G29" s="52"/>
      <c r="H29" s="52"/>
      <c r="I29" s="53">
        <f>F29</f>
        <v>0</v>
      </c>
    </row>
    <row r="30" spans="1:9" ht="12.75" x14ac:dyDescent="0.2">
      <c r="A30" s="105" t="s">
        <v>361</v>
      </c>
      <c r="B30" s="105"/>
      <c r="C30" s="105"/>
      <c r="D30" s="105"/>
      <c r="E30" s="105"/>
      <c r="F30" s="54">
        <v>0</v>
      </c>
      <c r="G30" s="5"/>
      <c r="H30" s="5"/>
      <c r="I30" s="54">
        <f>F30</f>
        <v>0</v>
      </c>
    </row>
    <row r="31" spans="1:9" ht="12.75" x14ac:dyDescent="0.2">
      <c r="A31" s="106" t="s">
        <v>389</v>
      </c>
      <c r="B31" s="106"/>
      <c r="C31" s="106"/>
      <c r="D31" s="106"/>
      <c r="E31" s="106"/>
      <c r="F31" s="55"/>
      <c r="G31" s="56"/>
      <c r="H31" s="56"/>
      <c r="I31" s="57">
        <f>SUM(I25:I30)</f>
        <v>10000</v>
      </c>
    </row>
    <row r="33" spans="1:9" ht="15.75" x14ac:dyDescent="0.2">
      <c r="A33" s="107" t="s">
        <v>390</v>
      </c>
      <c r="B33" s="107"/>
      <c r="C33" s="107"/>
      <c r="D33" s="107"/>
      <c r="E33" s="107"/>
      <c r="F33" s="108">
        <f>I22+I31</f>
        <v>73000</v>
      </c>
      <c r="G33" s="108"/>
      <c r="H33" s="108"/>
      <c r="I33" s="108"/>
    </row>
    <row r="37" spans="1:9" ht="15.75" x14ac:dyDescent="0.25">
      <c r="A37" s="102" t="s">
        <v>391</v>
      </c>
      <c r="B37" s="102"/>
      <c r="C37" s="102"/>
      <c r="D37" s="102"/>
      <c r="E37" s="102"/>
    </row>
    <row r="38" spans="1:9" ht="12.75" x14ac:dyDescent="0.2">
      <c r="A38" s="103" t="s">
        <v>392</v>
      </c>
      <c r="B38" s="103"/>
      <c r="C38" s="103"/>
      <c r="D38" s="103"/>
      <c r="E38" s="103"/>
      <c r="F38" s="50" t="s">
        <v>386</v>
      </c>
      <c r="G38" s="50" t="s">
        <v>276</v>
      </c>
      <c r="H38" s="50" t="s">
        <v>387</v>
      </c>
      <c r="I38" s="50" t="s">
        <v>386</v>
      </c>
    </row>
    <row r="39" spans="1:9" ht="12.75" x14ac:dyDescent="0.2">
      <c r="A39" s="105"/>
      <c r="B39" s="105"/>
      <c r="C39" s="105"/>
      <c r="D39" s="105"/>
      <c r="E39" s="105"/>
      <c r="F39" s="54">
        <v>0</v>
      </c>
      <c r="G39" s="5"/>
      <c r="H39" s="5"/>
      <c r="I39" s="54">
        <f>F39</f>
        <v>0</v>
      </c>
    </row>
    <row r="40" spans="1:9" ht="12.75" x14ac:dyDescent="0.2">
      <c r="A40" s="106" t="s">
        <v>393</v>
      </c>
      <c r="B40" s="106"/>
      <c r="C40" s="106"/>
      <c r="D40" s="106"/>
      <c r="E40" s="106"/>
      <c r="F40" s="55"/>
      <c r="G40" s="56"/>
      <c r="H40" s="56"/>
      <c r="I40" s="57">
        <f>SUM(I39:I39)</f>
        <v>0</v>
      </c>
    </row>
  </sheetData>
  <sheetProtection selectLockedCells="1" selectUnlockedCells="1"/>
  <mergeCells count="55">
    <mergeCell ref="A33:E33"/>
    <mergeCell ref="F33:I33"/>
    <mergeCell ref="A37:E37"/>
    <mergeCell ref="A38:E38"/>
    <mergeCell ref="A39:E39"/>
    <mergeCell ref="A40:E40"/>
    <mergeCell ref="A26:E26"/>
    <mergeCell ref="A27:E27"/>
    <mergeCell ref="A28:E28"/>
    <mergeCell ref="A29:E29"/>
    <mergeCell ref="A30:E30"/>
    <mergeCell ref="A31:E31"/>
    <mergeCell ref="A19:E19"/>
    <mergeCell ref="A20:E20"/>
    <mergeCell ref="A21:E21"/>
    <mergeCell ref="A22:E22"/>
    <mergeCell ref="A24:E24"/>
    <mergeCell ref="A25:E25"/>
    <mergeCell ref="A13:E13"/>
    <mergeCell ref="A14:E14"/>
    <mergeCell ref="A15:E15"/>
    <mergeCell ref="A16:E16"/>
    <mergeCell ref="A17:E17"/>
    <mergeCell ref="A18:E18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23" bottom="0.59097222222222223" header="0.51180555555555551" footer="0.51180555555555551"/>
  <pageSetup firstPageNumber="0" fitToHeight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Bušek</dc:creator>
  <cp:lastModifiedBy>Bušek</cp:lastModifiedBy>
  <dcterms:created xsi:type="dcterms:W3CDTF">2024-12-12T09:53:55Z</dcterms:created>
  <dcterms:modified xsi:type="dcterms:W3CDTF">2024-12-12T09:53:55Z</dcterms:modified>
</cp:coreProperties>
</file>