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1"/>
  </bookViews>
  <sheets>
    <sheet name="Krycí list rozpočtu" sheetId="1" r:id="rId1"/>
    <sheet name="Stavební rozpočet" sheetId="2" r:id="rId2"/>
  </sheets>
  <definedNames/>
  <calcPr fullCalcOnLoad="1"/>
</workbook>
</file>

<file path=xl/sharedStrings.xml><?xml version="1.0" encoding="utf-8"?>
<sst xmlns="http://schemas.openxmlformats.org/spreadsheetml/2006/main" count="2908" uniqueCount="1052">
  <si>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</si>
  <si>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</si>
  <si>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</si>
  <si>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</si>
  <si>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</si>
  <si>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</si>
  <si>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</si>
  <si>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</si>
  <si>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</si>
  <si>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</si>
  <si>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</si>
  <si>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</si>
  <si>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</si>
  <si>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</si>
  <si>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</si>
  <si>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</si>
  <si>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</si>
  <si>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</si>
  <si>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</si>
  <si>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</si>
  <si>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</si>
  <si>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</si>
  <si>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</si>
  <si>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</si>
  <si>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</si>
  <si>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</si>
  <si>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</si>
  <si>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</si>
  <si>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</si>
  <si>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</si>
  <si>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</si>
  <si>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</si>
  <si>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</si>
  <si>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</si>
  <si>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</si>
  <si>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</si>
  <si>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</si>
  <si>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</si>
  <si>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</si>
  <si>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</si>
  <si>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</si>
  <si>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</si>
  <si>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</si>
  <si>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</si>
  <si>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</si>
  <si>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</si>
  <si>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</si>
  <si>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</si>
  <si>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</si>
  <si>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</si>
  <si>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</si>
  <si>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</si>
  <si>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</si>
  <si>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</si>
  <si>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</si>
  <si>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</si>
  <si>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</si>
  <si>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</si>
  <si>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</si>
  <si>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</si>
  <si>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</si>
  <si>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</si>
  <si>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</si>
  <si>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</si>
  <si>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</si>
  <si>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</si>
  <si>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</si>
  <si>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</si>
  <si>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</si>
  <si>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</si>
  <si>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</si>
  <si>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</si>
  <si>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</si>
  <si>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</si>
  <si>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</si>
  <si>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</si>
  <si>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</si>
  <si>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</si>
  <si>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</si>
  <si>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</si>
  <si>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</si>
  <si>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</si>
  <si>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</si>
  <si>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</si>
  <si>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</si>
  <si>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</si>
  <si>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</si>
  <si>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</si>
  <si>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</si>
  <si>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</si>
  <si>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</si>
  <si>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</si>
  <si>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</si>
  <si>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</si>
  <si>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</si>
  <si>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</si>
  <si>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</si>
  <si>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</si>
  <si>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</si>
  <si>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</si>
  <si>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</si>
  <si>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</si>
  <si>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</si>
  <si>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</si>
  <si>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</si>
  <si>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</si>
  <si>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</si>
  <si>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</si>
  <si>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</si>
  <si>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</si>
  <si>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</si>
  <si>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</si>
  <si>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</si>
  <si>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</si>
  <si>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</si>
  <si>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</si>
  <si>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</si>
  <si>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</si>
  <si>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</si>
  <si>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</si>
  <si>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</si>
  <si>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</si>
  <si>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</si>
  <si>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</si>
  <si>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</si>
  <si>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</si>
  <si>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</si>
  <si>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</si>
  <si>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</si>
  <si>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</si>
  <si>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</si>
  <si>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</si>
  <si>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</si>
  <si>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</si>
  <si>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</si>
  <si>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</si>
  <si>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</si>
  <si>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</si>
  <si>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</si>
  <si>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</si>
  <si>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</si>
  <si>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</si>
  <si>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</si>
  <si>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</si>
  <si>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</si>
  <si>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</si>
  <si>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</si>
  <si>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</si>
  <si>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</si>
  <si>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</si>
  <si>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</si>
  <si>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</si>
  <si>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</si>
  <si>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</si>
  <si>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</si>
  <si>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</si>
  <si>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</si>
  <si>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</si>
  <si>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</si>
  <si>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</si>
  <si>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</si>
  <si>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</si>
  <si>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</si>
  <si>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</si>
  <si>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</si>
  <si>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204</t>
  </si>
  <si>
    <t>Poznámka:</t>
  </si>
  <si>
    <t>Objekt</t>
  </si>
  <si>
    <t>Kód</t>
  </si>
  <si>
    <t>113106231R00</t>
  </si>
  <si>
    <t>113109315R00</t>
  </si>
  <si>
    <t>113152112R00</t>
  </si>
  <si>
    <t>113201111R00</t>
  </si>
  <si>
    <t>132201211R00</t>
  </si>
  <si>
    <t>162201102R00</t>
  </si>
  <si>
    <t>167101101R00</t>
  </si>
  <si>
    <t>162701105R00</t>
  </si>
  <si>
    <t>162701109R00</t>
  </si>
  <si>
    <t>199000002R00</t>
  </si>
  <si>
    <t>174101102R00</t>
  </si>
  <si>
    <t>181101102R00</t>
  </si>
  <si>
    <t>181301103R00</t>
  </si>
  <si>
    <t>180402113R00</t>
  </si>
  <si>
    <t>10364200</t>
  </si>
  <si>
    <t>00572400</t>
  </si>
  <si>
    <t>274316131RT2</t>
  </si>
  <si>
    <t>271531113R00</t>
  </si>
  <si>
    <t>430320040RAC</t>
  </si>
  <si>
    <t>564751111R00</t>
  </si>
  <si>
    <t>596215040T00</t>
  </si>
  <si>
    <t>602011193R00</t>
  </si>
  <si>
    <t>602016191R00</t>
  </si>
  <si>
    <t>602022191R00</t>
  </si>
  <si>
    <t>602003RVD</t>
  </si>
  <si>
    <t>622904112R00</t>
  </si>
  <si>
    <t>620451211RT2</t>
  </si>
  <si>
    <t>620991121R00</t>
  </si>
  <si>
    <t>622311525R00</t>
  </si>
  <si>
    <t>622311835R00</t>
  </si>
  <si>
    <t>622319553R00</t>
  </si>
  <si>
    <t>622311563R00</t>
  </si>
  <si>
    <t>622391176T00</t>
  </si>
  <si>
    <t>622432112R00</t>
  </si>
  <si>
    <t>622300154R00</t>
  </si>
  <si>
    <t>553927492</t>
  </si>
  <si>
    <t>622300152T00</t>
  </si>
  <si>
    <t>622311111R00</t>
  </si>
  <si>
    <t>319201311R00</t>
  </si>
  <si>
    <t>622451122R00</t>
  </si>
  <si>
    <t>612100020RA0</t>
  </si>
  <si>
    <t>71313001RVD</t>
  </si>
  <si>
    <t>283001RVD</t>
  </si>
  <si>
    <t>283502222</t>
  </si>
  <si>
    <t>283501452</t>
  </si>
  <si>
    <t>28350140</t>
  </si>
  <si>
    <t>622481211RT2</t>
  </si>
  <si>
    <t>622300172RT2</t>
  </si>
  <si>
    <t>622391425R00</t>
  </si>
  <si>
    <t>632411906R00</t>
  </si>
  <si>
    <t>632415120RT4</t>
  </si>
  <si>
    <t>7838004RVD</t>
  </si>
  <si>
    <t>632921410R00</t>
  </si>
  <si>
    <t>63957001RVD</t>
  </si>
  <si>
    <t>711</t>
  </si>
  <si>
    <t>711212015R00</t>
  </si>
  <si>
    <t>71121001RVD</t>
  </si>
  <si>
    <t>711823121RT2</t>
  </si>
  <si>
    <t>711823129RT2</t>
  </si>
  <si>
    <t>711491272RT1</t>
  </si>
  <si>
    <t>693001RVD</t>
  </si>
  <si>
    <t>711212000R00</t>
  </si>
  <si>
    <t>711212002R00</t>
  </si>
  <si>
    <t>71121002RVD</t>
  </si>
  <si>
    <t>998711101R00</t>
  </si>
  <si>
    <t>713</t>
  </si>
  <si>
    <t>713132111R00</t>
  </si>
  <si>
    <t>721</t>
  </si>
  <si>
    <t>721242803R00</t>
  </si>
  <si>
    <t>998721101R00</t>
  </si>
  <si>
    <t>728</t>
  </si>
  <si>
    <t>728415815R00</t>
  </si>
  <si>
    <t>728415115R00</t>
  </si>
  <si>
    <t>728001RVD</t>
  </si>
  <si>
    <t>998728102R00</t>
  </si>
  <si>
    <t>762</t>
  </si>
  <si>
    <t>762333120T00</t>
  </si>
  <si>
    <t>605001RVD</t>
  </si>
  <si>
    <t>998762102R00</t>
  </si>
  <si>
    <t>764</t>
  </si>
  <si>
    <t>764900035RA0</t>
  </si>
  <si>
    <t>764351837R00</t>
  </si>
  <si>
    <t>764900040RA0</t>
  </si>
  <si>
    <t>76435001RVD</t>
  </si>
  <si>
    <t>764359811R00</t>
  </si>
  <si>
    <t>764001RVD</t>
  </si>
  <si>
    <t>764391821R00</t>
  </si>
  <si>
    <t>764410880R00</t>
  </si>
  <si>
    <t>764554402R00</t>
  </si>
  <si>
    <t>764259411R00</t>
  </si>
  <si>
    <t>76425001RVD</t>
  </si>
  <si>
    <t>764252403R00</t>
  </si>
  <si>
    <t>764291440R00</t>
  </si>
  <si>
    <t>764297441R00</t>
  </si>
  <si>
    <t>764411131R00</t>
  </si>
  <si>
    <t>764411159R00</t>
  </si>
  <si>
    <t>998764102R00</t>
  </si>
  <si>
    <t>766</t>
  </si>
  <si>
    <t>766427112R00</t>
  </si>
  <si>
    <t>60510055</t>
  </si>
  <si>
    <t>766423122R00</t>
  </si>
  <si>
    <t>61191741</t>
  </si>
  <si>
    <t>766421821R00</t>
  </si>
  <si>
    <t>766421822R00</t>
  </si>
  <si>
    <t>998766102R00</t>
  </si>
  <si>
    <t>767</t>
  </si>
  <si>
    <t>767996801R00</t>
  </si>
  <si>
    <t>767995103R00</t>
  </si>
  <si>
    <t>767896920R00</t>
  </si>
  <si>
    <t>231001RVD</t>
  </si>
  <si>
    <t>998767201R00</t>
  </si>
  <si>
    <t>783</t>
  </si>
  <si>
    <t>78378001RVD</t>
  </si>
  <si>
    <t>938902121R00</t>
  </si>
  <si>
    <t>784011111R00</t>
  </si>
  <si>
    <t>783620020RAF</t>
  </si>
  <si>
    <t>784</t>
  </si>
  <si>
    <t>784011222RT1</t>
  </si>
  <si>
    <t>28323210</t>
  </si>
  <si>
    <t>871313121RU1</t>
  </si>
  <si>
    <t>8001RVD</t>
  </si>
  <si>
    <t>998276101R00</t>
  </si>
  <si>
    <t>905      R01</t>
  </si>
  <si>
    <t>916561111R00</t>
  </si>
  <si>
    <t>59217335</t>
  </si>
  <si>
    <t>931992112R00</t>
  </si>
  <si>
    <t>941941031R00</t>
  </si>
  <si>
    <t>941941191R00</t>
  </si>
  <si>
    <t>941941831R00</t>
  </si>
  <si>
    <t>944944011R00</t>
  </si>
  <si>
    <t>944944031R00</t>
  </si>
  <si>
    <t>944944081R00</t>
  </si>
  <si>
    <t>944945012R00</t>
  </si>
  <si>
    <t>944945192R00</t>
  </si>
  <si>
    <t>944945812R00</t>
  </si>
  <si>
    <t>998009101R00</t>
  </si>
  <si>
    <t>952901111R00</t>
  </si>
  <si>
    <t>950001RVD</t>
  </si>
  <si>
    <t>950002RVD</t>
  </si>
  <si>
    <t>95006RVD</t>
  </si>
  <si>
    <t>961044111R00</t>
  </si>
  <si>
    <t>965081813R00</t>
  </si>
  <si>
    <t>963042819R00</t>
  </si>
  <si>
    <t>966077121R00</t>
  </si>
  <si>
    <t>978015221R00</t>
  </si>
  <si>
    <t>978015411R00</t>
  </si>
  <si>
    <t>978023411R00</t>
  </si>
  <si>
    <t>967031741R00</t>
  </si>
  <si>
    <t>978071321R00</t>
  </si>
  <si>
    <t>H01</t>
  </si>
  <si>
    <t>999281108R00</t>
  </si>
  <si>
    <t>M21</t>
  </si>
  <si>
    <t>21001RVD</t>
  </si>
  <si>
    <t>M65</t>
  </si>
  <si>
    <t>65081001RVD</t>
  </si>
  <si>
    <t>65011001RVD</t>
  </si>
  <si>
    <t>S</t>
  </si>
  <si>
    <t>979990101R00</t>
  </si>
  <si>
    <t>979990141R00</t>
  </si>
  <si>
    <t>979990161R00</t>
  </si>
  <si>
    <t>979082111R00</t>
  </si>
  <si>
    <t>979086112R00</t>
  </si>
  <si>
    <t>979081111R00</t>
  </si>
  <si>
    <t>979081121R00</t>
  </si>
  <si>
    <t>979093111R00</t>
  </si>
  <si>
    <t>000VD</t>
  </si>
  <si>
    <t>0001RVD</t>
  </si>
  <si>
    <t>0002RVD</t>
  </si>
  <si>
    <t>01VRN</t>
  </si>
  <si>
    <t>013002VRN</t>
  </si>
  <si>
    <t>03VRN</t>
  </si>
  <si>
    <t>030001VRN</t>
  </si>
  <si>
    <t>039002VRN</t>
  </si>
  <si>
    <t>04VRN</t>
  </si>
  <si>
    <t>040001VRN</t>
  </si>
  <si>
    <t>043002VRN</t>
  </si>
  <si>
    <t>06VRN</t>
  </si>
  <si>
    <t>065002VRN</t>
  </si>
  <si>
    <t>07VRN</t>
  </si>
  <si>
    <t>070001VRN</t>
  </si>
  <si>
    <t>Oprava omítky a balkónů, č.p. 1093, Šluknov - SO.02 - Fasáda</t>
  </si>
  <si>
    <t>Lužická 1093, 407 77 Šluknov, p.p.č. 1346/67 v k.ú. Šluknov</t>
  </si>
  <si>
    <t>Zkrácený popis</t>
  </si>
  <si>
    <t>Rozměry</t>
  </si>
  <si>
    <t>Přípravné a přidružené práce</t>
  </si>
  <si>
    <t>Rozebrání dlažeb ze zámkové dlažby v kamenivu</t>
  </si>
  <si>
    <t>(5,3*1)+(2,1*1)+(2,1*1)</t>
  </si>
  <si>
    <t>(5,3*1)+(1,39*2,68)</t>
  </si>
  <si>
    <t>Odstranění podkladu pl.50 m2, bet.prostý tl.15 cm</t>
  </si>
  <si>
    <t>(5,05*0,75)+(7,45*0,75)+(11,5*0,75)+7,77</t>
  </si>
  <si>
    <t>(5,05*0,75)+(26,25*0,75)+5,11</t>
  </si>
  <si>
    <t>(0,99*0,75)+(14*0,75)+(2,4*0,75)+(0,48*0,75)+(5,35*0,75)+(1,3*0,75)+(7,075*0,75)</t>
  </si>
  <si>
    <t>Odstranění podkladu z kameniva drceného</t>
  </si>
  <si>
    <t>(5,3*1*0,24)+(2,1*1*0,24)+(2,1*1*0,24)</t>
  </si>
  <si>
    <t>(5,3*1*0,24)+(1,39*2,68*0,24)</t>
  </si>
  <si>
    <t>Vytrhání obrubníků chodníkových a parkových</t>
  </si>
  <si>
    <t>1+1+1+1+1+1+1,5+2,68+1+1</t>
  </si>
  <si>
    <t>Hloubené vykopávky</t>
  </si>
  <si>
    <t>Hloubení rýh š.do 200 cm hor.3 do 100 m3,STROJNĚ</t>
  </si>
  <si>
    <t>(78,05125*0,75*0,55)/2</t>
  </si>
  <si>
    <t>(7,45+11,5+0,35+0,6+2,5+0,455+2,47+0,74+1,08)*(0,25*0,7/2)</t>
  </si>
  <si>
    <t>(5,05+26,25+2,59+0,6+2,5+0,455+1,25)*(0,25*0,7/2)</t>
  </si>
  <si>
    <t>(0,285+16+8,13+6,6+1,5+1,9+0,7)*(0,25*0,7/2)</t>
  </si>
  <si>
    <t>Přemístění výkopku</t>
  </si>
  <si>
    <t>Vodorovné přemístění výkopku z hor.1-4 do 50 m</t>
  </si>
  <si>
    <t>Nakládání výkopku z hor.1-4 v množství do 100 m3</t>
  </si>
  <si>
    <t>58,43178-42,17803</t>
  </si>
  <si>
    <t>Vodorovné přemístění výkopku z hor.1-4 do 10000 m</t>
  </si>
  <si>
    <t>(78,05125*0,75*0,55)</t>
  </si>
  <si>
    <t>(7,45+11,5+0,35+0,6+2,5+0,455+2,47+0,74+1,08)*(0,02*0,7)</t>
  </si>
  <si>
    <t>(5,05+26,25+2,59+0,6+2,5+0,455+1,25)*(0,02*0,7)</t>
  </si>
  <si>
    <t>(0,285+16+8,13+6,6+1,5+1,9+0,7)*(0,02*0,7)</t>
  </si>
  <si>
    <t>Příplatek k vod. přemístění hor.1-4 za další 1 km</t>
  </si>
  <si>
    <t>Poplatek za skládku horniny 1- 4, č. dle katal. odpadů 17 05 04</t>
  </si>
  <si>
    <t>Konstrukce ze zemin</t>
  </si>
  <si>
    <t>Povrchové úpravy terénu</t>
  </si>
  <si>
    <t>Úprava pláně v zářezech v hor. 1-4, se zhutněním</t>
  </si>
  <si>
    <t>(1+1+1+1+1+1+1,5+2,68+1+1)*1,5</t>
  </si>
  <si>
    <t>(5,05+7,45+12,5+1,35+2,59+0,65+2,56+0,47+2,56+0,76+1,07+1,04)*1,5</t>
  </si>
  <si>
    <t>(5,05+25,5+2,59+0,65+2,59+2,56+0,47+1,18+0,75+1,7+1,28)*1,5</t>
  </si>
  <si>
    <t>(14,73+7,08+0,65+6,2)*1,5</t>
  </si>
  <si>
    <t>Rozprostření ornice, rovina, tl. 15-20 cm,do 500m2</t>
  </si>
  <si>
    <t>Založení trávníku parkového výsevem svah do 1:1</t>
  </si>
  <si>
    <t>Ornice pro pozemkové úpravy</t>
  </si>
  <si>
    <t>(1+1+1+1+1+1+1,5+2,68+1+1)*(1,5*0,2)</t>
  </si>
  <si>
    <t>(5,05+7,45+12,5+1,35+2,59+0,65+2,56+0,47+2,56+0,76+1,07+1,04)*(1,5*0,2)</t>
  </si>
  <si>
    <t>(5,05+25,5+2,59+0,65+2,59+2,56+0,47+1,18+0,75+1,7+1,28)*(1,5*0,2)</t>
  </si>
  <si>
    <t>(14,73+7,08+0,65+6,2)*(1,5*0,2)</t>
  </si>
  <si>
    <t>Směs travní parková I. běžná zátěž</t>
  </si>
  <si>
    <t>184,15*0,05</t>
  </si>
  <si>
    <t>Základy</t>
  </si>
  <si>
    <t>Základ.pasy z betonu prostého vodostaveb. C 25/30</t>
  </si>
  <si>
    <t>2,19*0,6*1,2</t>
  </si>
  <si>
    <t>2,45*0,6*1,2</t>
  </si>
  <si>
    <t>Polštář základu z kameniva hr. drceného 16-32 mm</t>
  </si>
  <si>
    <t>1,69*1,95*0,3</t>
  </si>
  <si>
    <t>Schodiště</t>
  </si>
  <si>
    <t>Schodišťová konstrukce ŽB beton C 25/30</t>
  </si>
  <si>
    <t>2,25*1,99*0,4+0,94*0,32</t>
  </si>
  <si>
    <t>1,93*1,67*0,16+0,94*0,32</t>
  </si>
  <si>
    <t>1,61*1,35*0,16+0,94*0,32</t>
  </si>
  <si>
    <t>Podkladní vrstvy komunikací, letišť a ploch</t>
  </si>
  <si>
    <t>Podklad z kameniva drceného vel.32-63 mm,tl. 15 cm</t>
  </si>
  <si>
    <t>3,86+4,95+7,63+6,97</t>
  </si>
  <si>
    <t>4,13+20,53</t>
  </si>
  <si>
    <t>9,18+11,35</t>
  </si>
  <si>
    <t>111,03*0,17</t>
  </si>
  <si>
    <t>(0,86*5,3)+(1*0,32)+(2*0,86)+(0,32*1,3)+(2*0,86)+(0,32*1,3)</t>
  </si>
  <si>
    <t>(0,86*5,2)+(1*0,32)+(1,29*2,68)</t>
  </si>
  <si>
    <t>Kryty pozemních komunikací, letišť a ploch dlážděných (předlažby)</t>
  </si>
  <si>
    <t>Kladení zámkové dlažby tl. 80 mm do drtě tl. 40 mm</t>
  </si>
  <si>
    <t>Omítky ze suchých směsí</t>
  </si>
  <si>
    <t>Kontaktní nátěr pod omítky</t>
  </si>
  <si>
    <t>-50,7</t>
  </si>
  <si>
    <t>Penetrační nátěr stěn</t>
  </si>
  <si>
    <t>-50,7/10</t>
  </si>
  <si>
    <t>220,84+(3,31*5,67)+(4,46*5,67)+(3,2*5,67)+(2,68*5,67)</t>
  </si>
  <si>
    <t>(10,35+26,25+3,31+4,56+3,2+2,68)*0,7</t>
  </si>
  <si>
    <t>223,01+(3,31*6,08)+(4,46*6,08)+(3,2*6,08)+(2,75*2,95)+(2,01*2,95)+(2,22*1,83)+(1,83*2,2)</t>
  </si>
  <si>
    <t>(10,3+26,25+3,31+4,56+5,4+2,01)*0,7</t>
  </si>
  <si>
    <t>(9,78+14,03)*0,7</t>
  </si>
  <si>
    <t>77,36+69,48</t>
  </si>
  <si>
    <t>-52,792-28,425</t>
  </si>
  <si>
    <t>-12,945-64,72</t>
  </si>
  <si>
    <t>-11,070375-16,28625</t>
  </si>
  <si>
    <t>Penetrace pod mozaikokovou omítku (marmolit)</t>
  </si>
  <si>
    <t>(0,43+0,32+0,32+0,37+2,16+0,32+0,32+0,37+1,63)*2*0,7</t>
  </si>
  <si>
    <t>Úprava povrchů vnější</t>
  </si>
  <si>
    <t>Očištění fasád tlakovou vodou složitost 1 - 2</t>
  </si>
  <si>
    <t>(4,6+0,6+2,6+2,6)*0,18+(0,6+1,5+0,57+2,8+0,57+1,5+0,6)*0,18+(0,57+0,8+1,68+2,6)*5*0,18</t>
  </si>
  <si>
    <t>(1,5+0,57+2+0,5)*0,18+(0,6+1,5+0,57+2+0,57+1,5+0,6)*0,18+(1,3+1,3+1,8+1,8)*2*0,18+(1,12+1,12)*2*0,18</t>
  </si>
  <si>
    <t>(2,1+2,1+0,71+0,71)*2*0,18+(1,3+1,3+1,65)*6*0,18</t>
  </si>
  <si>
    <t>(0,84+2,6+2,6+0,84)*0,18+(0,6+1,5+0,57+2+0,57+1,5+0,6)*0,18+(0,57+0,87+1,68+2,6)*5*0,18</t>
  </si>
  <si>
    <t>(1,5+0,57+2+0,57+1,5)*7*0,18+(1,12*2)*2*0,18+(1,3+1,3+1,65)*6*0,18+(2,1+2,1+0,71+0,71)*0,18</t>
  </si>
  <si>
    <t>(1,3+1,3+0,5+0,5+1,35+1,35+1,35+1,35+0,9+0,9+0,9+0,9+2+2+1,2+1,2+1,5+0,785+1,65+1,73)*0,23</t>
  </si>
  <si>
    <t>(2+1,08+2,23+2,31+1,8+1,8+1,8+1,8+1,8+1,8+1,8+1,8+5,2+3,6+2+1,08+2,23+2,31+1,5+0,785+1,65+1,73)*0,23</t>
  </si>
  <si>
    <t>(2,7+2,7+2,5)*0,27</t>
  </si>
  <si>
    <t>Postřik izolací nebo konstrukcí vnějších, MC</t>
  </si>
  <si>
    <t>Zakrývání výplní vnějších otvorů z lešení</t>
  </si>
  <si>
    <t>(0,56*4,6)+(1,2*4,6)/2+(3,6*1,9)+(1,06*0,6)+(0,57*0,4)*5+(1,2*0,87)*5+(1,2*1,17)*5+(2,8*1,9)*5</t>
  </si>
  <si>
    <t>(0,75*1,9)*2+(1,3*2,5)+(1,5*0,83*2)/2+(1,8*1,3)*2+(1*2,1)*2+(1*0,5*2)/2+(1,5*1,3)*6</t>
  </si>
  <si>
    <t>(1,5*0,83*2)/2+(1,5*1,3)*6</t>
  </si>
  <si>
    <t>(1,8*1,8)*2+(1,8*2,6)+(2*1,07)+(2*1,16)/2+(1,5*0,785)+(1,5*0,865)/2</t>
  </si>
  <si>
    <t>(0,84*4,6)+(1,2*4,6)/2+(3,6*1,9)+(1,06*0,6)+(0,57*0,4)*5+(1,2*0,87)*5+(1,2*1,17)*5+(2,8*1,9)*7</t>
  </si>
  <si>
    <t>(1,3*0,5)+(0,9*1,35)*2+(1*0,45)+(2*1,2)+(0,785*1,5)+(0,875*1,5)/2+(2*1,08)+(2*1,15)/2</t>
  </si>
  <si>
    <t>Zateplovací systém, sokl, XPS tl. 160 mm</t>
  </si>
  <si>
    <t>(10,35+26,25+3,31+4,56+3,2+2,68)*1,2</t>
  </si>
  <si>
    <t>(10,3+26,25+3,31+4,56+5,4+2,01)*1,2</t>
  </si>
  <si>
    <t>(9,78+14,03)*1,2</t>
  </si>
  <si>
    <t>Zatepl.syst., fasáda, miner.desky PV 160 mm</t>
  </si>
  <si>
    <t>Zatepl.sys., ostění, XPS 30 mm</t>
  </si>
  <si>
    <t>(4,6+0,6+2,6+2,6)*0,32+(0,6+1,5+0,57+2,8+0,57+1,5+0,6)*0,32+(0,57+0,8+1,68+2,6)*5*0,32</t>
  </si>
  <si>
    <t>(1,5+0,57+2+0,5)*0,32+(0,6+1,5+0,57+2+0,57+1,5+0,6)*0,32+(1,3+1,3+1,8+1,8)*2*0,32+(1,12+1,12)*2*0,32</t>
  </si>
  <si>
    <t>(2,1+2,1+0,71+0,71)*2*0,32+(1,3+1,3+1,65)*6*0,32</t>
  </si>
  <si>
    <t>(1,5+0,57+2+0,57+1,5)*7*0,32+(1,12*2)*2*0,32+(1,3+1,3+1,65)*6*0,32+(2,1+2,1+0,71+0,71)*0,32</t>
  </si>
  <si>
    <t>(0,84+2,6+2,6+0,84)*0,32+(0,6+1,5+0,57+2+0,57+1,5+0,6)*0,32+(0,57+0,87+1,68+2,6)*5*0,32</t>
  </si>
  <si>
    <t>(1,3+1,3+0,5+0,5+1,35+1,35+1,35+1,35+0,9+0,9+0,9+0,9+2+2+1,2+1,2+1,5+0,785+1,65+1,73)*0,32</t>
  </si>
  <si>
    <t>(2+1,08+2,23+2,31+1,8+1,8+1,8+1,8+1,8+1,8+1,8+1,8+5,2+3,6+2+1,08+2,23+2,31+1,5+0,785+1,65+1,73)*0,32</t>
  </si>
  <si>
    <t>Zateplovací systém, parapet, XPS tl. 30 mm</t>
  </si>
  <si>
    <t>(4,6+1,78+0,76+0,8+0,4+2,8+0,8+0,4+2,8+0,4+0,75+0,75+0,4+2,8+0,8+0,4+2,8+2,8+1,5+1,8+1,5+1,8)*0,32</t>
  </si>
  <si>
    <t>(1,5*6)*0,32</t>
  </si>
  <si>
    <t>(1,5+2+2+1,8+1,8+2+1,5)*0,32</t>
  </si>
  <si>
    <t>(4,6+1,78+0,76+0,8+0,4+2,8+0,8+0,4+2,8+0,4+2,8+0,4+2,8+0,8+0,4+2,8+2,8+1,5+1,8+1,5+1,8)*0,32</t>
  </si>
  <si>
    <t>Příplatek za injektážní kotvy 6 ks/m2 pro ETICS, tloušťka izolantu (minerální vlna) nad 140 mm</t>
  </si>
  <si>
    <t>-66,95</t>
  </si>
  <si>
    <t>Omítka stěn marmolit střednězrnná</t>
  </si>
  <si>
    <t>Montáž zakládací sady ETICS</t>
  </si>
  <si>
    <t>(10,35+26,25+3,31+4,56+3,2+2,68)</t>
  </si>
  <si>
    <t>(10,3+26,25+3,31+4,56+5,4+2,01)</t>
  </si>
  <si>
    <t>(9,78+14,03)</t>
  </si>
  <si>
    <t>(0,43+0,32+0,32+0,37+2,16+0,32+0,32+0,37+1,63)</t>
  </si>
  <si>
    <t>Profil soklový ETICS š. 160 mm</t>
  </si>
  <si>
    <t>Montáž dilatační lišty, profilu</t>
  </si>
  <si>
    <t>6,25+6,35</t>
  </si>
  <si>
    <t>6,6</t>
  </si>
  <si>
    <t>Dilatační profil KZS průběžný E</t>
  </si>
  <si>
    <t>Vyrovnání povrchu zdiva maltou tl.do 3 cm</t>
  </si>
  <si>
    <t>Začištění omítek kolem oken a dveří</t>
  </si>
  <si>
    <t>(4,6+0,6+2,6+2,6)+(0,6+1,5+0,57+2,8+0,57+1,5+0,6)+(0,57+0,8+1,68+2,6)*5</t>
  </si>
  <si>
    <t>(1,5+0,57+2+0,5)+(0,6+1,5+0,57+2+0,57+1,5+0,6)+(1,3+1,3+1,8+1,8)*2+(1,12+1,12)*2</t>
  </si>
  <si>
    <t>(2,1+2,1+0,71+0,71)*2+(1,3+1,3+1,65)*6</t>
  </si>
  <si>
    <t>(1,5+0,57+2+0,57+1,5)*7+(1,12*2)*2+(1,3+1,3+1,65)*6+(2,1+2,1+0,71+0,71)</t>
  </si>
  <si>
    <t>(0,84+2,6+2,6+0,84)+(0,6+1,5+0,57+2+0,57+1,5+0,6)+(0,57+0,87+1,68+2,6)*5</t>
  </si>
  <si>
    <t>(1,3+1,3+0,5+0,5+1,35+1,35+1,35+1,35+0,9+0,9+0,9+0,9+2+2+1,2+1,2+1,5+0,785+1,65+1,73)</t>
  </si>
  <si>
    <t>(2+1,08+2,23+2,31+1,8+1,8+1,8+1,8+1,8+1,8+1,8+1,8+5,2+3,6+2+1,08+2,23+2,31+1,5+0,785+1,65+1,73)</t>
  </si>
  <si>
    <t>(4,6+1,78+0,76+0,8+0,4+2,8+0,8+0,4+2,8+0,4+0,75+0,75+0,4+2,8+0,8+0,4+2,8+2,8+1,5+1,8+1,5+1,8)</t>
  </si>
  <si>
    <t>(1,5*6)</t>
  </si>
  <si>
    <t>(1,5+2+2+1,8+1,8+2+1,5)</t>
  </si>
  <si>
    <t>(4,6+1,78+0,76+0,8+0,4+2,8+0,8+0,4+2,8+0,4+2,8+0,4+2,8+0,8+0,4+2,8+2,8+1,5+1,8+1,5+1,8)</t>
  </si>
  <si>
    <t>Montáž lišty pro KZS</t>
  </si>
  <si>
    <t>Rohová lišta okapová se skleněnou síťovinou</t>
  </si>
  <si>
    <t>(2,6+2,6)+(0,57+2,8+0,57)+(1,68)*5</t>
  </si>
  <si>
    <t>(0,57+2+0,57)+(0,57+2+0,57)+(1,3+1,8)*2+(1,12+1,12)*2</t>
  </si>
  <si>
    <t>(0,71+0,71)*2+(1,65)*6</t>
  </si>
  <si>
    <t>(0,57+2+0,57)*7+(1,12*2)+(1,65*6)+(2,1+2,1+0,71+0,71)</t>
  </si>
  <si>
    <t>(2,6+2,6)+(0,57+2+0,57)+(1,68*5)</t>
  </si>
  <si>
    <t>(1,3+0,9+0,9+2+1,5+1,73)</t>
  </si>
  <si>
    <t>(2,31+1,8+1,8+1,8+2,31+1,73)</t>
  </si>
  <si>
    <t>Lišta rohová plast s tkaninou 100x150 mm 2,5 m</t>
  </si>
  <si>
    <t>-126,3</t>
  </si>
  <si>
    <t>Profil okenní a dveřní připojovací ETICS, l=2400mm</t>
  </si>
  <si>
    <t>(4,6+0,6+2,6+2,6)/2,4+(0,6+1,5+0,57+2,8+0,57+1,5+0,6)/2,4+(0,57+0,8+1,68+2,6)*5/2,4</t>
  </si>
  <si>
    <t>(1,5+0,57+2+0,5)/2,4+(0,6+1,5+0,57+2+0,57+1,5+0,6)/2,4+(1,3+1,3+1,8+1,8)*2/2,4+(1,12+1,12)*2/2,4</t>
  </si>
  <si>
    <t>(2,1+2,1+0,71+0,71)*2/2,4+(1,3+1,3+1,65)*6/2,4</t>
  </si>
  <si>
    <t>(1,5+0,57+2+0,57+1,5)*7/2,4+(1,12*2)*2/2,4+(1,3+1,3+1,65)*6/2,4+(2,1+2,1+0,71+0,71)/2,4</t>
  </si>
  <si>
    <t>(0,84+2,6+2,6+0,84)/2,4+(0,6+1,5+0,57+2+0,57+1,5+0,6)/2,4+(0,57+0,87+1,68+2,6)*5/2,4</t>
  </si>
  <si>
    <t>(1,3+1,3+0,5+0,5+1,35+1,35+1,35+1,35+0,9+0,9+0,9+0,9+2+2+1,2+1,2+1,5+0,785+1,65+1,73)/2,4</t>
  </si>
  <si>
    <t>(2+1,08+2,23+2,31+1,8+1,8+1,8+1,8+1,8+1,8+1,8+1,8+5,2+3,6+2+1,08+2,23+2,31+1,5+0,785+1,65+1,73)/2,4</t>
  </si>
  <si>
    <t>-126,3/2,4</t>
  </si>
  <si>
    <t>Profil připojovací parapetní ETICS, l=2000 mm</t>
  </si>
  <si>
    <t>(4,6+1,78+0,76+0,8+0,4+2,8+0,8+0,4+2,8+0,4+0,75+0,75+0,4+2,8+0,8+0,4+2,8+2,8+1,5+1,8+1,5+1,8)/2</t>
  </si>
  <si>
    <t>(1,5*6)/2</t>
  </si>
  <si>
    <t>(1,5+2+2+1,8+1,8+2+1,5)/2</t>
  </si>
  <si>
    <t>(4,6+1,78+0,76+0,8+0,4+2,8+0,8+0,4+2,8+0,4+2,8+0,4+2,8+0,8+0,4+2,8+2,8+1,5+1,8+1,5+1,8)/2</t>
  </si>
  <si>
    <t>Montáž výztužné sítě(perlinky)do stěrky-vněj.stěny</t>
  </si>
  <si>
    <t>Těsnění napojovacích spár tmelem</t>
  </si>
  <si>
    <t>(3,56+3,56+0,3+3,74+3,70+3,25+2,3+2,3+2,3+2,3+2,3+2,3+2,3+2,3+2,3+2,3+3,5)</t>
  </si>
  <si>
    <t>(1,55+1,87+1,87+1,55+1,48)</t>
  </si>
  <si>
    <t>(3,18+0,59+1,75+0,39+1,78+0,59+3,06+2,69)</t>
  </si>
  <si>
    <t>(4,65+4,65+1,82+1,82+4,65+4,65)</t>
  </si>
  <si>
    <t>6,6+6,6</t>
  </si>
  <si>
    <t>Příplatek za zdvojení KZS,tl.220 mm,kotvy,minerál</t>
  </si>
  <si>
    <t>66,95</t>
  </si>
  <si>
    <t>Podlahy a podlahové konstrukce</t>
  </si>
  <si>
    <t>Penetrace podkladů</t>
  </si>
  <si>
    <t>2,25*0,32+1,99*0,32</t>
  </si>
  <si>
    <t>1,93*0,32+1,67*0,32</t>
  </si>
  <si>
    <t>1,61*1,35+0,94*0,32</t>
  </si>
  <si>
    <t>2,25*0,4+1,99*0,4</t>
  </si>
  <si>
    <t>1,93*0,16+1,67*0,16</t>
  </si>
  <si>
    <t>1,61*0,16+1,67*0,16</t>
  </si>
  <si>
    <t>Potěr samonivelační ručně tl. 20 mm</t>
  </si>
  <si>
    <t>Kontaktní spojovací můstek na cementové bázi dle PD</t>
  </si>
  <si>
    <t>Dlažba z dlaždic betonových do MC 10, tl. 40 mm</t>
  </si>
  <si>
    <t>Okapový chodník - kačírek pro okapový chodník tl. 250 mm</t>
  </si>
  <si>
    <t>Izolace proti vodě</t>
  </si>
  <si>
    <t>Stěrka hydroizolační bitumenová</t>
  </si>
  <si>
    <t>Hydroizolační stěrka proti zemní vlhkosti - 3,00 kg/m2</t>
  </si>
  <si>
    <t>Montáž nopové fólie svisle</t>
  </si>
  <si>
    <t>(10,35+26,25+3,31+4,56+3,2+2,68)*0,5</t>
  </si>
  <si>
    <t>(10,3+26,25+3,31+4,56+5,4+2,01)*0,5</t>
  </si>
  <si>
    <t>(9,78+14,03)*0,5</t>
  </si>
  <si>
    <t>Montáž ukončovací lišty k nopové fólii</t>
  </si>
  <si>
    <t>Izolace tlaková, ochranná textilie svislá</t>
  </si>
  <si>
    <t>Geotextílie -ÚVstab 63/50ÚV 500 g/m2 do š. 8,8 m</t>
  </si>
  <si>
    <t>Penetrace podkladu pod hydroizolační nátěr,vč.dod.</t>
  </si>
  <si>
    <t>181,332</t>
  </si>
  <si>
    <t>Hydroizolační povlak - nátěr nebo stěrka</t>
  </si>
  <si>
    <t>Reaktivní hydroizolační stěrka proti zemní vlhkosti (pro přilepení XPS)</t>
  </si>
  <si>
    <t>Přesun hmot pro izolace proti vodě, výšky do 6 m</t>
  </si>
  <si>
    <t>Izolace tepelné</t>
  </si>
  <si>
    <t>Přebroušení izolantu</t>
  </si>
  <si>
    <t>Vnitřní kanalizace</t>
  </si>
  <si>
    <t>5+5</t>
  </si>
  <si>
    <t>Přesun hmot pro vnitřní kanalizaci, výšky do 6 m</t>
  </si>
  <si>
    <t>Vzduchotechnika</t>
  </si>
  <si>
    <t>Demontáž mřížky větrací nebo ventilační nad 0,20m2</t>
  </si>
  <si>
    <t>Montáž mřížky větrací nebo ventilační nad 0,20 m2</t>
  </si>
  <si>
    <t>Dodávka a montáž - prodloužení stávajícího potrubí na novou úroveň ETICS</t>
  </si>
  <si>
    <t>Přesun hmot pro vzduchotechniku, výšky do 12 m</t>
  </si>
  <si>
    <t>Konstrukce tesařské</t>
  </si>
  <si>
    <t>Montáž vázaných krovů nepravidelných do 224 cm2</t>
  </si>
  <si>
    <t>0,315*349</t>
  </si>
  <si>
    <t>Řezivo sušené dub, 8-10% vlhkosti</t>
  </si>
  <si>
    <t>0,022*0,14*349</t>
  </si>
  <si>
    <t>Přesun hmot pro tesařské konstrukce, výšky do 12 m</t>
  </si>
  <si>
    <t>Konstrukce klempířské</t>
  </si>
  <si>
    <t>Demontáž podokapních žlabů půlkruhových</t>
  </si>
  <si>
    <t>0,7+3,45+3,73+1,58+2,7+3,18+0,44+1,75+0,39+1,78+0,56+3,06</t>
  </si>
  <si>
    <t>Demontáž háků, sklon do 45°</t>
  </si>
  <si>
    <t>(0,7+3,45+3,73+1,58+2,7+3,18+0,44+1,75+0,39+1,78+0,56+3,07)*2</t>
  </si>
  <si>
    <t>(0,7+3,45+3,73+1,58+2,7+3,18+0,44+1,75+0,39+1,78+0,56+3,11)*2</t>
  </si>
  <si>
    <t>Demontáž odpadních trub</t>
  </si>
  <si>
    <t>6,3+6,4+6,1+6,2+6,2+6,2+6,5+7+6,5+6,5</t>
  </si>
  <si>
    <t>6,3+6,9+6,3+6,6+6,5+6,8+6,7+8,3+6,9+7,1</t>
  </si>
  <si>
    <t>Demontáž žlabového kolíku hranatého</t>
  </si>
  <si>
    <t>Demontáž kotlíku kónického, sklon do 45°</t>
  </si>
  <si>
    <t>Demontáž podstřešní věrací mřížky</t>
  </si>
  <si>
    <t>3,56+3,56+0,3+3,74+3,70+3,25+2,3+2,3+2,3+2,3+2,3+2,3+2,3+2,3+2,3+2,3+3,5+1,55+1,87+1,87+1,55+1,48</t>
  </si>
  <si>
    <t>3,18+0,59+1,75+0,39+1,78+0,59+3,06+2,69</t>
  </si>
  <si>
    <t>4,65+4,65+1,82+1,82+4,65+4,65</t>
  </si>
  <si>
    <t>Demontáž závětrné lišty, rš 250 a 330 mm, do 45°</t>
  </si>
  <si>
    <t>2,3+2,3+2,3+2,3+2,3+2,3+2,3+2,3+2,3+2,3+1,55+1,87+1,87+1,55</t>
  </si>
  <si>
    <t>Demontáž oplechování parapetů,rš od 400 do 600 mm</t>
  </si>
  <si>
    <t>4,6+1,78+0,76+0,8+0,4+2,8+0,8+0,4+2,8+0,4+0,75+0,75+0,4+2,8+0,8+0,4+2,8+2,8+1,5+1,8+1,5+1,8+(1,5*6)</t>
  </si>
  <si>
    <t>1,5+2+2+1,8+1,8+2+1,5+1,5+1,5+0,42+0,9</t>
  </si>
  <si>
    <t>4,6+1,78+0,76+0,8+0,4+2,8+0,8+0,4+2,8+0,4+2,8+0,4+2,8+0,8+0,4+2,8+2,8+1,5+1,8+1,5+1,8+(1,5*6)</t>
  </si>
  <si>
    <t>Odpadní trouby z Ti Zn plechu, kruhové</t>
  </si>
  <si>
    <t>7,1</t>
  </si>
  <si>
    <t>Kotlík kónický z pl.Ti-Zn pro trouby D do 150 mm</t>
  </si>
  <si>
    <t>Kotlík čtyřhran. pro žlaby Ti Zn</t>
  </si>
  <si>
    <t>Žlaby Ti Zn plech, podokapní půlkruhové, rš 330 mm</t>
  </si>
  <si>
    <t>Závětrná lišta z Ti Zn plechu, rš 500 mm</t>
  </si>
  <si>
    <t>Dírkovaná zastávka z Ti-Zn</t>
  </si>
  <si>
    <t>Oplechování parapetů z tažených Al profilů, š.400</t>
  </si>
  <si>
    <t>1,8*6</t>
  </si>
  <si>
    <t>2*3</t>
  </si>
  <si>
    <t>1,65*12</t>
  </si>
  <si>
    <t>2,8*12</t>
  </si>
  <si>
    <t>0,8*12</t>
  </si>
  <si>
    <t>0,75*2</t>
  </si>
  <si>
    <t>4,6*2</t>
  </si>
  <si>
    <t>0,4*10</t>
  </si>
  <si>
    <t>1,5*6</t>
  </si>
  <si>
    <t>Boční krytky, AL, pro šířku parapetu 380-400 mm</t>
  </si>
  <si>
    <t>Přesun hmot pro klempířské konstr., výšky do 12 m</t>
  </si>
  <si>
    <t>Konstrukce truhlářské</t>
  </si>
  <si>
    <t>Podkladový rošt pro obložení podhledů</t>
  </si>
  <si>
    <t>(3,56+3,56+0,3+3,74+3,70+3,25+2,3+2,3+2,3+2,3+2,3+2,3+2,3+2,3+2,3+2,3+3,5)*5</t>
  </si>
  <si>
    <t>(1,55+1,87+1,87+1,55+1,48)*5</t>
  </si>
  <si>
    <t>(3,18+0,59+1,75+0,39+1,78+0,59+3,06+2,69)*5</t>
  </si>
  <si>
    <t>(4,65+4,65+1,82+1,82+4,65+4,65)*5</t>
  </si>
  <si>
    <t>(279,18/3)*0,5</t>
  </si>
  <si>
    <t>Lať surová SM jakost I-II 40 x 60 mm, 4 m</t>
  </si>
  <si>
    <t>Obložení podhledů složitých, palubkami MD š. 8 cm</t>
  </si>
  <si>
    <t>(3,56+3,56+0,3+3,74+3,70+3,25+2,3+2,3+2,3+2,3+2,3+2,3+2,3+2,3+2,3+2,3+3,5)*0,6</t>
  </si>
  <si>
    <t>(1,55+1,87+1,87+1,55+1,48)*0,6</t>
  </si>
  <si>
    <t>(3,18+0,59+1,75+0,39+1,78+0,59+3,06+2,69)*0,6</t>
  </si>
  <si>
    <t>(4,65+4,65+1,82+1,82+4,65+4,65)*0,6</t>
  </si>
  <si>
    <t>Palubka obkladová MD tloušťka 20 šíře do 80 mm</t>
  </si>
  <si>
    <t>(3,56+3,56+0,3+3,74+3,70+3,25+2,3+2,3+2,3+2,3+2,3+2,3+2,3+2,3+2,3+2,3+3,5)*0,6*1,1</t>
  </si>
  <si>
    <t>(1,55+1,87+1,87+1,55+1,48)*0,6*1,1</t>
  </si>
  <si>
    <t>(3,18+0,59+1,75+0,39+1,78+0,59+3,06+2,69)*0,6*1,1</t>
  </si>
  <si>
    <t>(4,65+4,65+1,82+1,82+4,65+4,65)*0,6*1,1</t>
  </si>
  <si>
    <t>Demontáž obložení stropů palubkami</t>
  </si>
  <si>
    <t>(3,56+3,56+0,3+3,74+3,70+3,25+2,3+2,3+2,3+2,3+2,3+2,3+2,3+2,3+2,3+2,3+3,5)*0,65</t>
  </si>
  <si>
    <t>(1,55+1,87+1,87+1,55+1,48)*0,65</t>
  </si>
  <si>
    <t>(3,18+0,59+1,75+0,39+1,78+0,59+3,06+2,69)*0,65</t>
  </si>
  <si>
    <t>(4,65+4,65+1,82+1,82+4,65+4,65)*0,65</t>
  </si>
  <si>
    <t>Demontáž podkladových roštů obložení podhledů</t>
  </si>
  <si>
    <t>Přesun hmot pro truhlářské konstr., výšky do 12 m</t>
  </si>
  <si>
    <t>Konstrukce doplňkové stavební (zámečnické)</t>
  </si>
  <si>
    <t>Demontáž atypických ocelových konstr. do 50 kg</t>
  </si>
  <si>
    <t>20*6</t>
  </si>
  <si>
    <t>Výroba a montáž kov. atypických konstr. do 20 kg</t>
  </si>
  <si>
    <t>Těsnění spár styků tmelením</t>
  </si>
  <si>
    <t>279,18</t>
  </si>
  <si>
    <t>103,5</t>
  </si>
  <si>
    <t>65*2*0,4</t>
  </si>
  <si>
    <t>Tmel dle technologického předpisu vybraného systémového provedení, 1 ks: 300 ml vystačí na cca 20 bm</t>
  </si>
  <si>
    <t>279,18/20</t>
  </si>
  <si>
    <t>103,5/20</t>
  </si>
  <si>
    <t>(65*2*0,4)/20</t>
  </si>
  <si>
    <t>Přesun hmot pro zámečnické konstr., výšky do 6 m</t>
  </si>
  <si>
    <t>Nátěry</t>
  </si>
  <si>
    <t>Nátěr tesařských konstrukcí proti škůdcům a dřevokazným houbám 2x</t>
  </si>
  <si>
    <t>1442,43*(0,04+0,04+0,06+0,06)</t>
  </si>
  <si>
    <t>184,2588</t>
  </si>
  <si>
    <t>184,2588*12,5*0,02</t>
  </si>
  <si>
    <t>(0,022*2*349)+(0,16*0,14*349)+(0,27*0,14*349)+(0,315*0,14*349)</t>
  </si>
  <si>
    <t>(0,16*0,5*349)+(0,16*0,5*349)+(0,14*0,5*349)+(0,14*0,5*349)</t>
  </si>
  <si>
    <t>Čištění dřevěných konstrukcí ocelovými kartáči</t>
  </si>
  <si>
    <t>Oprášení/ometení podkladu</t>
  </si>
  <si>
    <t>Nátěr truhlářských výrobků lazurovacím lakem</t>
  </si>
  <si>
    <t>(184,2588*3)</t>
  </si>
  <si>
    <t>(184,2588*12,5*0,02*3)</t>
  </si>
  <si>
    <t>Malby</t>
  </si>
  <si>
    <t>Zakrytí podlah, včetně odstranění</t>
  </si>
  <si>
    <t>10,33*2</t>
  </si>
  <si>
    <t>Fólie PE šedá tl. 0,20  mm  š. 2000 mm  dl. 25 m</t>
  </si>
  <si>
    <t>Potrubí z trub plastických, skleněných a čedičových</t>
  </si>
  <si>
    <t>Montáž trub z plastu, gumový kroužek, DN 150</t>
  </si>
  <si>
    <t>Ostatní nespecifikovaný spojovací materiál včetně montáže</t>
  </si>
  <si>
    <t>Přesun hmot, trubní vedení plastová, otevř. výkop</t>
  </si>
  <si>
    <t>Hodinové zúčtovací sazby (HZS)</t>
  </si>
  <si>
    <t>Hzs-revize provoz.souboru a st.obj.</t>
  </si>
  <si>
    <t>6+4</t>
  </si>
  <si>
    <t>Doplňující konstrukce a práce na pozemních komunikacích a zpevněných plochách</t>
  </si>
  <si>
    <t>Osazení záhon.obrubníků do lože z C 12/15 s opěrou</t>
  </si>
  <si>
    <t>5,05+7,45+12,5+1,35+2,59+0,65+2,56+0,47+2,56+0,76+1,07+1,04</t>
  </si>
  <si>
    <t>5,05+25,5+2,59+0,65+2,59+2,56+0,47+1,18+0,75+1,7+1,28</t>
  </si>
  <si>
    <t>14,73+7,08+0,65+6,2</t>
  </si>
  <si>
    <t>Obrubník zahradní ABO 10-20 1000/50/250 mm šedý</t>
  </si>
  <si>
    <t>123,21*1,1</t>
  </si>
  <si>
    <t>Různé dokončovací konstrukce a práce inženýrských staveb</t>
  </si>
  <si>
    <t>Výplň dilatačních spár z lehčených plastů tl.30 mm</t>
  </si>
  <si>
    <t>(2,13+0,3+1+1,09)*1,8</t>
  </si>
  <si>
    <t>Lešení a stavební výtahy</t>
  </si>
  <si>
    <t>Montáž lešení leh.řad.s podlahami,š.do 1 m, H 10 m</t>
  </si>
  <si>
    <t>(7,5*42,32)+(7,5*5,65)+(7,5*5,65)</t>
  </si>
  <si>
    <t>(7,85*42,32)+(7,85*5,65)+(7,85*5,65)</t>
  </si>
  <si>
    <t>(8,1*8,6)+(5,1*7,57)+(8,5*8,6)+(5,1*7,57)</t>
  </si>
  <si>
    <t>Příplatek za každý měsíc použití lešení k pol.1031</t>
  </si>
  <si>
    <t>(7,5*42,32*6)+(7,5*5,65*6)+(7,5*5,65*6)</t>
  </si>
  <si>
    <t>(7,85*42,32*6)+(7,85*5,65*6)+(7,85*5,65*6)</t>
  </si>
  <si>
    <t>(8,1*8,6*6)+(5,1*7,57*6)+(8,5*8,6*6)+(5,1*7,57)*6</t>
  </si>
  <si>
    <t>-50,7*6</t>
  </si>
  <si>
    <t>Demontáž lešení leh.řad.s podlahami,š.1 m, H 10 m</t>
  </si>
  <si>
    <t>Montáž ochranné sítě z umělých vláken</t>
  </si>
  <si>
    <t>Příplatek za každý měsíc použití sítí k pol. 4011</t>
  </si>
  <si>
    <t>Demontáž ochranné sítě z umělých vláken</t>
  </si>
  <si>
    <t>Montáž záchytné stříšky H 4,5 m, šířky do 2 m</t>
  </si>
  <si>
    <t>5,5+4+2+2+5,5+3+4,5</t>
  </si>
  <si>
    <t>Příplatek za každý měsíc použ.stříšky, k pol. 5012</t>
  </si>
  <si>
    <t>(5,5+4+2+2+5,5+3+4,5)*6</t>
  </si>
  <si>
    <t>Demontáž záchytné stříšky H 4,5 m, šířky do 2 m</t>
  </si>
  <si>
    <t>Přesun hmot lešení samostatně budovaného</t>
  </si>
  <si>
    <t>Různé dokončovací konstrukce a práce na pozemních stavbách</t>
  </si>
  <si>
    <t>Vyčištění budov o výšce podlaží do 4 m</t>
  </si>
  <si>
    <t>Dodávka a montáž - nová dvoukřídlá TiZn dvířka na HUP o rozměrech 900x1350 mm</t>
  </si>
  <si>
    <t>1+1</t>
  </si>
  <si>
    <t>Dodávka a montáž - nová dvoukřídlá TiZn dvířka na el. rozvadeč o rozměrech 1300x500 mm</t>
  </si>
  <si>
    <t>Bourání konstrukcí</t>
  </si>
  <si>
    <t>Bourání základů z betonu prostého</t>
  </si>
  <si>
    <t>(0,6*0,75*0,7*2)+(1,5*1*0,7*2)</t>
  </si>
  <si>
    <t>(2,13*2,39*1,2)+(2,13*2,39*0,175)+(1,81*2,07*0,16)+(1,75*1,49*0,16)</t>
  </si>
  <si>
    <t>Bourání dlažeb terac.,čedič. tl.do 30 mm, nad 1 m2</t>
  </si>
  <si>
    <t>2,13*2,39</t>
  </si>
  <si>
    <t>Bourání schodišťových stupňů betonových</t>
  </si>
  <si>
    <t>2,39+2,13+2,07+1,81+1,49+1,75</t>
  </si>
  <si>
    <t>Odstranění doplňkových konstrukcí do 50 kg</t>
  </si>
  <si>
    <t>Prorážení otvorů a ostatní bourací práce</t>
  </si>
  <si>
    <t>Otlučení omítek vnějších MVC v složit.1-4 do 10 %</t>
  </si>
  <si>
    <t>Odstranění štuk. vrstvy z vnějších stěn slož. 1-4</t>
  </si>
  <si>
    <t>-68,497377</t>
  </si>
  <si>
    <t>Vysekání a úprava spár zdiva cihelného mimo komín.</t>
  </si>
  <si>
    <t>Přisekání plošné zdiva cihelného na MC tl. 5 cm</t>
  </si>
  <si>
    <t>Odsek.omítky a iz.desek(&gt;120m3/kg)tl.5cm nad 1m2</t>
  </si>
  <si>
    <t>(7,6*5,67)+(7,6*2,19)+(6,57*3,8)</t>
  </si>
  <si>
    <t>(7,6*5,99)+(4,38*3,7)</t>
  </si>
  <si>
    <t>-117,65</t>
  </si>
  <si>
    <t>Budovy občanské výstavby</t>
  </si>
  <si>
    <t>Přesun hmot pro opravy a údržbu do výšky 12 m</t>
  </si>
  <si>
    <t>Elektromontáže</t>
  </si>
  <si>
    <t>Elektroinstalace</t>
  </si>
  <si>
    <t>Demontáž stávajícího hromosvodu</t>
  </si>
  <si>
    <t>Montáž hromosvodu</t>
  </si>
  <si>
    <t>Přesuny sutí</t>
  </si>
  <si>
    <t>Poplatek za uložení směsi betonu a cihel skupina 170101 a 170102</t>
  </si>
  <si>
    <t>Poplatek za uložení suti - polystyren+omítka, skupina odpadu 170604</t>
  </si>
  <si>
    <t>Poplatek za likvidaci (spalovna) - dřevo, skupina odpadu 170201</t>
  </si>
  <si>
    <t>3,44424+3,2</t>
  </si>
  <si>
    <t>Nakládání nebo překládání suti a vybouraných hmot</t>
  </si>
  <si>
    <t>Odvoz suti a vybour. hmot na skládku do 1 km</t>
  </si>
  <si>
    <t>Příplatek k odvozu za každý další 1 km</t>
  </si>
  <si>
    <t>Uložení suti na skládku bez zhutnění</t>
  </si>
  <si>
    <t>VORN</t>
  </si>
  <si>
    <t>Vytyčení inženýrských sítí</t>
  </si>
  <si>
    <t>Dokumentace skutečného provedení</t>
  </si>
  <si>
    <t>VORN - Vedlejší a ostatní rozpočtové náklady</t>
  </si>
  <si>
    <t>Průzkumy, geodetické a projektové práce</t>
  </si>
  <si>
    <t>Projektové práce</t>
  </si>
  <si>
    <t>Zařízení staveniště</t>
  </si>
  <si>
    <t>Odstranění zařízení staveniště</t>
  </si>
  <si>
    <t>Inženýrské činnosti</t>
  </si>
  <si>
    <t>Zkoušky</t>
  </si>
  <si>
    <t>Územní vlivy</t>
  </si>
  <si>
    <t>Mimostaveništní doprava</t>
  </si>
  <si>
    <t>Provozní vlivy</t>
  </si>
  <si>
    <t>Doba výstavby:</t>
  </si>
  <si>
    <t>Začátek výstavby:</t>
  </si>
  <si>
    <t>Konec výstavby:</t>
  </si>
  <si>
    <t>Zpracováno dne:</t>
  </si>
  <si>
    <t>pohled od východu (plocha dle PD)</t>
  </si>
  <si>
    <t>pohled od západu (plocha dle PD)</t>
  </si>
  <si>
    <t>pro výměnu lapačů střešních splavenin (plocha dle PD)</t>
  </si>
  <si>
    <t>pohled od severu (plocha dle PD)</t>
  </si>
  <si>
    <t>pod zámkovou dlažbou: předpoklad 50%</t>
  </si>
  <si>
    <t>pod betonovými prvky: předpoklad 50%</t>
  </si>
  <si>
    <t>vedle betonových prvku - podled od východu: předpoklad 50%</t>
  </si>
  <si>
    <t>vedle betonových prvku - podled od západu: předpoklad 50%</t>
  </si>
  <si>
    <t>vedle betonových prvku - podled od severu: předpoklad 50%</t>
  </si>
  <si>
    <t>hloubení rýh strojně</t>
  </si>
  <si>
    <t>ruční výkop jam a rýh</t>
  </si>
  <si>
    <t>pod zámkovou dlažbou</t>
  </si>
  <si>
    <t>pod betonovými prvky</t>
  </si>
  <si>
    <t>(skladka Volfartice, vzálenost 45 km)</t>
  </si>
  <si>
    <t>oprava travnatých povrchů kolem stávajících obrubníků</t>
  </si>
  <si>
    <t>pohled od východu - oprava travnatých povrchů kolem nových obrubníků</t>
  </si>
  <si>
    <t>pohled od západu - oprava travnatých povrchů kolem nových obrubníků</t>
  </si>
  <si>
    <t>pohled od severu - oprava travnatých povrchů kolem nových obrubníků</t>
  </si>
  <si>
    <t>základy schodiště</t>
  </si>
  <si>
    <t>pod ŽB schodiště</t>
  </si>
  <si>
    <t>schodiště stupeň 1: rozměr 2,25*1,99*0,4</t>
  </si>
  <si>
    <t>schodiště stupeň 2: rozměr 1,93*1,67*0,16</t>
  </si>
  <si>
    <t>schodiště stupeň 3: rozměr 1,61*1,35*0,16</t>
  </si>
  <si>
    <t>pohled od východu, plicha dle PD</t>
  </si>
  <si>
    <t>pohled od západu, plicha dle PD</t>
  </si>
  <si>
    <t>pohled od severu, plicha dle PD</t>
  </si>
  <si>
    <t>pod obrubníky</t>
  </si>
  <si>
    <t>pohled od východu - zámková dlažba</t>
  </si>
  <si>
    <t>pohled od západu - zámková dlažba</t>
  </si>
  <si>
    <t>pohled od východu</t>
  </si>
  <si>
    <t>pohled od západu</t>
  </si>
  <si>
    <t>fasáda</t>
  </si>
  <si>
    <t>provedená plocha</t>
  </si>
  <si>
    <t>pohled od východu (plocha dle PD) část I.</t>
  </si>
  <si>
    <t>pohled od východu - sokl</t>
  </si>
  <si>
    <t>pohled od západu (plocha dle PD) část I.</t>
  </si>
  <si>
    <t>pohled od západu - sokl</t>
  </si>
  <si>
    <t>pohled od severu sokl</t>
  </si>
  <si>
    <t>pohled od severu (plocha dle PD) část I.</t>
  </si>
  <si>
    <t>odečet otvorů - pohled od východu</t>
  </si>
  <si>
    <t>odečet otvorů - pohled od západu</t>
  </si>
  <si>
    <t>odečet otvorů - pohled od severu</t>
  </si>
  <si>
    <t>balkóny - sokl</t>
  </si>
  <si>
    <t>pohled od východu (plocha dle PD) část II. - ostění</t>
  </si>
  <si>
    <t>pohled od východu (plocha dle PD) část III. - ostění</t>
  </si>
  <si>
    <t>pohled od východu (plocha dle PD) část IV. - ostění</t>
  </si>
  <si>
    <t>pohled od západu (plocha dle PD) část II. - ostění</t>
  </si>
  <si>
    <t>pohled od západu (plocha dle PD) část III. - ostění</t>
  </si>
  <si>
    <t>pohled od severu (plocha dle PD) část II. - ostění</t>
  </si>
  <si>
    <t>pohled od severu (plocha dle PD) část III. - ostění</t>
  </si>
  <si>
    <t>átrium pohled od západu (plocha dle PD) část II. - ostění</t>
  </si>
  <si>
    <t>pohled od východu (plocha dle PD) část II.</t>
  </si>
  <si>
    <t>pohled od západu (plocha dle PD) část II.</t>
  </si>
  <si>
    <t>pohled od severu (plocha dle PD) část II.</t>
  </si>
  <si>
    <t>pohled od východu část I.</t>
  </si>
  <si>
    <t>pohled od východu část II.</t>
  </si>
  <si>
    <t>pohled od severu</t>
  </si>
  <si>
    <t>pohled od západu část I.</t>
  </si>
  <si>
    <t>pohled od západu část II.</t>
  </si>
  <si>
    <t>lepení nového KZS na starý</t>
  </si>
  <si>
    <t>napojení KZS (nový - starý)</t>
  </si>
  <si>
    <t>pohled od východu část I. - u parapetu</t>
  </si>
  <si>
    <t>pohled od východu část II. - u parapetu</t>
  </si>
  <si>
    <t>pohled od severu - u parapetu</t>
  </si>
  <si>
    <t>pohled od západu část I. - u parapetu</t>
  </si>
  <si>
    <t>pohled od západu část II. - u parapetu</t>
  </si>
  <si>
    <t>odečet okapové lišty, rohové se skleněnou tkaninou</t>
  </si>
  <si>
    <t>pohled od východu část I.a</t>
  </si>
  <si>
    <t>pohled od východu část I.b</t>
  </si>
  <si>
    <t>pohled od západu část I.b</t>
  </si>
  <si>
    <t>pohled od západu část I.a</t>
  </si>
  <si>
    <t>pohled od západu II. část</t>
  </si>
  <si>
    <t>napojení KZS (nový-starý)</t>
  </si>
  <si>
    <t>schodiště stupeň 1: rozměr 2,25*1,99</t>
  </si>
  <si>
    <t>schodiště stupeň 2: rozměr 1,93*1,67</t>
  </si>
  <si>
    <t>schodiště vrchní část stupeň 3: rozměr 1,61*1,35</t>
  </si>
  <si>
    <t>schodiště stupeň 1, schodnice</t>
  </si>
  <si>
    <t>schodiště stupeň 2, schodnice</t>
  </si>
  <si>
    <t>schodiště stupeň 3, schodnice</t>
  </si>
  <si>
    <t>lepení XPS</t>
  </si>
  <si>
    <t>dřevěný dubový klín, rozměr viz PD, plocha 0,022 m2, tl. 0,14m, 349 ks</t>
  </si>
  <si>
    <t>T01</t>
  </si>
  <si>
    <t>T02</t>
  </si>
  <si>
    <t>T03</t>
  </si>
  <si>
    <t>T04</t>
  </si>
  <si>
    <t>T05</t>
  </si>
  <si>
    <t>T06</t>
  </si>
  <si>
    <t>T07</t>
  </si>
  <si>
    <t>T08</t>
  </si>
  <si>
    <t>T09</t>
  </si>
  <si>
    <t>kontralatě</t>
  </si>
  <si>
    <t>ocelové rohože</t>
  </si>
  <si>
    <t>ocelová rohož vč. materiálů</t>
  </si>
  <si>
    <t>u mřížky</t>
  </si>
  <si>
    <t>u oken</t>
  </si>
  <si>
    <t>u parapetů</t>
  </si>
  <si>
    <t>latě a kontralatě</t>
  </si>
  <si>
    <t>palubky plocha</t>
  </si>
  <si>
    <t>palubky boční strany</t>
  </si>
  <si>
    <t>dubové klíny</t>
  </si>
  <si>
    <t>stávající prvky</t>
  </si>
  <si>
    <t>stávající prvky krovu</t>
  </si>
  <si>
    <t>balkón - východní pohled</t>
  </si>
  <si>
    <t>balkón - západní pohled</t>
  </si>
  <si>
    <t>revize lešení</t>
  </si>
  <si>
    <t>zpětné provedení vybouraných stávajících obrubníků</t>
  </si>
  <si>
    <t>pohled od východu - nové obrubníky</t>
  </si>
  <si>
    <t>pohled od západu - nové obrubníky</t>
  </si>
  <si>
    <t>pohled od severu - nové obrubníky</t>
  </si>
  <si>
    <t>délka obrubníků: 123,21 m, ztratné 10%</t>
  </si>
  <si>
    <t>schodiště</t>
  </si>
  <si>
    <t>okolo objektu</t>
  </si>
  <si>
    <t>schodiště na pohledu od východu (plocha dle PD)</t>
  </si>
  <si>
    <t>dvířka od rozvodny elektro</t>
  </si>
  <si>
    <t>dvířka od rozvodny plynovodu HUP</t>
  </si>
  <si>
    <t>odečet otlučené plochy omítky 10% (684,97377/100*10=68,497377)</t>
  </si>
  <si>
    <t>pohled od severu (plocha dle PD) část IV. - ostění</t>
  </si>
  <si>
    <t>21.03.2022</t>
  </si>
  <si>
    <t>MJ</t>
  </si>
  <si>
    <t>m2</t>
  </si>
  <si>
    <t>m3</t>
  </si>
  <si>
    <t>m</t>
  </si>
  <si>
    <t>kg</t>
  </si>
  <si>
    <t>Soubor</t>
  </si>
  <si>
    <t>kus</t>
  </si>
  <si>
    <t>t</t>
  </si>
  <si>
    <t>ks</t>
  </si>
  <si>
    <t>pár</t>
  </si>
  <si>
    <t>%</t>
  </si>
  <si>
    <t>h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</si>
  <si>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</si>
  <si>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</si>
  <si>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</si>
  <si>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</si>
  <si>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</si>
  <si>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</si>
  <si>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</si>
  <si>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Město Šluknov</t>
  </si>
  <si>
    <t>Jan Hošek</t>
  </si>
  <si>
    <t>Bude vybrán investorem</t>
  </si>
  <si>
    <t>Tomáš Bernatík</t>
  </si>
  <si>
    <t>Náklady (Kč)</t>
  </si>
  <si>
    <t>Dodávka</t>
  </si>
  <si>
    <t>Celkem:</t>
  </si>
  <si>
    <t>Montáž</t>
  </si>
  <si>
    <t>Celkem</t>
  </si>
  <si>
    <t>Hmotnost (t)</t>
  </si>
  <si>
    <t>Jednot.</t>
  </si>
  <si>
    <t>Cenová</t>
  </si>
  <si>
    <t>soustava</t>
  </si>
  <si>
    <t>RTS I / 2022</t>
  </si>
  <si>
    <t>Indiv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</si>
  <si>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</si>
  <si>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</si>
  <si>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</si>
  <si>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</si>
  <si>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</si>
  <si>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</si>
  <si>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</si>
  <si>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</si>
  <si>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</si>
  <si>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11_</t>
  </si>
  <si>
    <t>13_</t>
  </si>
  <si>
    <t>16_</t>
  </si>
  <si>
    <t>17_</t>
  </si>
  <si>
    <t>18_</t>
  </si>
  <si>
    <t>27_</t>
  </si>
  <si>
    <t>43_</t>
  </si>
  <si>
    <t>56_</t>
  </si>
  <si>
    <t>59_</t>
  </si>
  <si>
    <t>60_</t>
  </si>
  <si>
    <t>62_</t>
  </si>
  <si>
    <t>63_</t>
  </si>
  <si>
    <t>711_</t>
  </si>
  <si>
    <t>713_</t>
  </si>
  <si>
    <t>721_</t>
  </si>
  <si>
    <t>728_</t>
  </si>
  <si>
    <t>762_</t>
  </si>
  <si>
    <t>764_</t>
  </si>
  <si>
    <t>766_</t>
  </si>
  <si>
    <t>767_</t>
  </si>
  <si>
    <t>783_</t>
  </si>
  <si>
    <t>784_</t>
  </si>
  <si>
    <t>87_</t>
  </si>
  <si>
    <t>90_</t>
  </si>
  <si>
    <t>91_</t>
  </si>
  <si>
    <t>93_</t>
  </si>
  <si>
    <t>94_</t>
  </si>
  <si>
    <t>95_</t>
  </si>
  <si>
    <t>96_</t>
  </si>
  <si>
    <t>97_</t>
  </si>
  <si>
    <t>H01_</t>
  </si>
  <si>
    <t>M21_</t>
  </si>
  <si>
    <t>M65_</t>
  </si>
  <si>
    <t>S_</t>
  </si>
  <si>
    <t>000VD_</t>
  </si>
  <si>
    <t>01VRN_</t>
  </si>
  <si>
    <t>03VRN_</t>
  </si>
  <si>
    <t>04VRN_</t>
  </si>
  <si>
    <t>06VRN_</t>
  </si>
  <si>
    <t>07VRN_</t>
  </si>
  <si>
    <t>1_</t>
  </si>
  <si>
    <t>2_</t>
  </si>
  <si>
    <t>4_</t>
  </si>
  <si>
    <t>5_</t>
  </si>
  <si>
    <t>6_</t>
  </si>
  <si>
    <t>71_</t>
  </si>
  <si>
    <t>72_</t>
  </si>
  <si>
    <t>76_</t>
  </si>
  <si>
    <t>78_</t>
  </si>
  <si>
    <t>8_</t>
  </si>
  <si>
    <t>9_</t>
  </si>
  <si>
    <t>0_</t>
  </si>
  <si>
    <t> _</t>
  </si>
  <si>
    <t>_</t>
  </si>
  <si>
    <t>MAT</t>
  </si>
  <si>
    <t>WORK</t>
  </si>
  <si>
    <t>CELK</t>
  </si>
  <si>
    <t>ISWORK</t>
  </si>
  <si>
    <t>P</t>
  </si>
  <si>
    <t>M</t>
  </si>
  <si>
    <t>GROUPCODE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</si>
  <si>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</si>
  <si>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</si>
  <si>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</si>
  <si>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</si>
  <si>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</si>
  <si>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</si>
  <si>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</si>
  <si>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</si>
  <si>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</si>
  <si>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</si>
  <si>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</si>
  <si>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</si>
  <si>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</si>
  <si>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</si>
  <si>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</si>
  <si>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</si>
  <si>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</si>
  <si>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</si>
  <si>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</si>
  <si>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</si>
  <si>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Rozpočtová rezerva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</si>
  <si>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</si>
  <si>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</si>
  <si>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</si>
  <si>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</si>
  <si>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</si>
  <si>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</si>
  <si>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</si>
  <si>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Mimostav. doprava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</si>
  <si>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</si>
  <si>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</si>
  <si>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</si>
  <si>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</si>
  <si>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</si>
  <si>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</si>
  <si>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</si>
  <si>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</si>
  <si>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</si>
  <si>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IČO/DIČ:</t>
  </si>
  <si>
    <t>Položek:</t>
  </si>
  <si>
    <t>Datum:</t>
  </si>
  <si>
    <t>Náklady na umístění stavby (NUS)</t>
  </si>
  <si>
    <t>00261688/CZ00261688</t>
  </si>
  <si>
    <t>03454339/CZ8712182600</t>
  </si>
  <si>
    <t>0</t>
  </si>
  <si>
    <t>Prodloužení vedení, demontáž a zpětná montáž - osvětlení včetně čidel, specifikace dle PD</t>
  </si>
  <si>
    <t>Vnitrostaveništní doprava suti</t>
  </si>
  <si>
    <t>37</t>
  </si>
  <si>
    <t>128</t>
  </si>
  <si>
    <t>20*1</t>
  </si>
  <si>
    <t>(38,53*1*0,1)/2</t>
  </si>
  <si>
    <t>26,72</t>
  </si>
  <si>
    <t>(38,53*1*0,1)</t>
  </si>
  <si>
    <t>37,19*35</t>
  </si>
  <si>
    <t>37,19</t>
  </si>
  <si>
    <t>20*1*0,24</t>
  </si>
  <si>
    <t>698,1</t>
  </si>
  <si>
    <t>698,1/100*10</t>
  </si>
  <si>
    <t>698,1 m2 - plocha pro otluky z celkové plochy pouze 10% dle PD</t>
  </si>
  <si>
    <t>77,52*44</t>
  </si>
  <si>
    <t>Demontáž a zpětná montáž lapače střešních splavenin včetně napojení</t>
  </si>
  <si>
    <t>gajgry</t>
  </si>
  <si>
    <t>53,44</t>
  </si>
  <si>
    <t>Zásyp se zhutněním</t>
  </si>
  <si>
    <t>Demontáž, prodloužení vedení a montáž stávajících větracích mřížek, schránek, cedulek s popisy a nápisy, satelitů držáky vlajek dle původního stavu</t>
  </si>
  <si>
    <t>revize hromosvodu, elektroinstalace a revizní měření</t>
  </si>
  <si>
    <t>Omítka vnější stěn dle PD - sokl + fasáda</t>
  </si>
  <si>
    <t>celá plocha sokl hrubozrná + fasáda silikonová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</si>
</sst>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yy"/>
    <numFmt numFmtId="165" formatCode="dd\.mmmm\.yy"/>
  </numFmts>
  <fonts count="53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i/>
      <sz val="10"/>
      <color indexed="50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i/>
      <sz val="1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7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86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9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6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12" fillId="34" borderId="15" xfId="0" applyNumberFormat="1" applyFont="1" applyFill="1" applyBorder="1" applyAlignment="1" applyProtection="1">
      <alignment horizontal="center" vertical="center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9" fontId="7" fillId="0" borderId="19" xfId="0" applyNumberFormat="1" applyFont="1" applyFill="1" applyBorder="1" applyAlignment="1" applyProtection="1">
      <alignment horizontal="left" vertical="center"/>
      <protection/>
    </xf>
    <xf numFmtId="49" fontId="14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" fontId="14" fillId="0" borderId="15" xfId="0" applyNumberFormat="1" applyFont="1" applyFill="1" applyBorder="1" applyAlignment="1" applyProtection="1">
      <alignment horizontal="right" vertical="center"/>
      <protection/>
    </xf>
    <xf numFmtId="49" fontId="14" fillId="0" borderId="15" xfId="0" applyNumberFormat="1" applyFont="1" applyFill="1" applyBorder="1" applyAlignment="1" applyProtection="1">
      <alignment horizontal="right" vertical="center"/>
      <protection/>
    </xf>
    <xf numFmtId="4" fontId="14" fillId="0" borderId="22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13" fillId="34" borderId="24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49" fontId="5" fillId="35" borderId="25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35" borderId="25" xfId="0" applyNumberFormat="1" applyFont="1" applyFill="1" applyBorder="1" applyAlignment="1" applyProtection="1">
      <alignment vertical="center"/>
      <protection/>
    </xf>
    <xf numFmtId="0" fontId="1" fillId="35" borderId="26" xfId="0" applyNumberFormat="1" applyFont="1" applyFill="1" applyBorder="1" applyAlignment="1" applyProtection="1">
      <alignment vertical="center"/>
      <protection/>
    </xf>
    <xf numFmtId="49" fontId="5" fillId="35" borderId="27" xfId="0" applyNumberFormat="1" applyFont="1" applyFill="1" applyBorder="1" applyAlignment="1" applyProtection="1">
      <alignment horizontal="left" vertical="center"/>
      <protection/>
    </xf>
    <xf numFmtId="0" fontId="1" fillId="35" borderId="28" xfId="0" applyNumberFormat="1" applyFont="1" applyFill="1" applyBorder="1" applyAlignment="1" applyProtection="1">
      <alignment vertical="center"/>
      <protection/>
    </xf>
    <xf numFmtId="0" fontId="0" fillId="35" borderId="28" xfId="1" applyNumberFormat="1" applyFill="1" applyBorder="1" applyAlignment="1" applyProtection="1">
      <alignment/>
      <protection/>
    </xf>
    <xf numFmtId="49" fontId="9" fillId="35" borderId="28" xfId="0" applyNumberFormat="1" applyFont="1" applyFill="1" applyBorder="1" applyAlignment="1" applyProtection="1">
      <alignment horizontal="left" vertical="center"/>
      <protection/>
    </xf>
    <xf numFmtId="49" fontId="10" fillId="35" borderId="28" xfId="0" applyNumberFormat="1" applyFont="1" applyFill="1" applyBorder="1" applyAlignment="1" applyProtection="1">
      <alignment horizontal="left" vertical="center"/>
      <protection/>
    </xf>
    <xf numFmtId="4" fontId="5" fillId="35" borderId="27" xfId="0" applyNumberFormat="1" applyFont="1" applyFill="1" applyBorder="1" applyAlignment="1" applyProtection="1">
      <alignment horizontal="right" vertical="center"/>
      <protection/>
    </xf>
    <xf numFmtId="4" fontId="9" fillId="35" borderId="28" xfId="0" applyNumberFormat="1" applyFont="1" applyFill="1" applyBorder="1" applyAlignment="1" applyProtection="1">
      <alignment horizontal="right" vertical="center"/>
      <protection/>
    </xf>
    <xf numFmtId="0" fontId="1" fillId="35" borderId="27" xfId="0" applyNumberFormat="1" applyFont="1" applyFill="1" applyBorder="1" applyAlignment="1" applyProtection="1">
      <alignment vertical="center"/>
      <protection/>
    </xf>
    <xf numFmtId="0" fontId="0" fillId="35" borderId="27" xfId="1" applyNumberFormat="1" applyFill="1" applyBorder="1" applyAlignment="1" applyProtection="1">
      <alignment/>
      <protection/>
    </xf>
    <xf numFmtId="49" fontId="9" fillId="35" borderId="27" xfId="0" applyNumberFormat="1" applyFont="1" applyFill="1" applyBorder="1" applyAlignment="1" applyProtection="1">
      <alignment horizontal="left" vertical="center"/>
      <protection/>
    </xf>
    <xf numFmtId="49" fontId="10" fillId="35" borderId="27" xfId="0" applyNumberFormat="1" applyFont="1" applyFill="1" applyBorder="1" applyAlignment="1" applyProtection="1">
      <alignment horizontal="left" vertical="center"/>
      <protection/>
    </xf>
    <xf numFmtId="4" fontId="9" fillId="35" borderId="27" xfId="0" applyNumberFormat="1" applyFont="1" applyFill="1" applyBorder="1" applyAlignment="1" applyProtection="1">
      <alignment horizontal="right" vertical="center"/>
      <protection/>
    </xf>
    <xf numFmtId="0" fontId="52" fillId="0" borderId="0" xfId="0" applyFont="1" applyAlignment="1">
      <alignment vertical="center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9" fontId="5" fillId="35" borderId="27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18" fillId="0" borderId="29" xfId="0" applyNumberFormat="1" applyFont="1" applyFill="1" applyBorder="1" applyAlignment="1" applyProtection="1">
      <alignment horizontal="left" vertical="center"/>
      <protection/>
    </xf>
    <xf numFmtId="49" fontId="18" fillId="0" borderId="30" xfId="0" applyNumberFormat="1" applyFont="1" applyFill="1" applyBorder="1" applyAlignment="1" applyProtection="1">
      <alignment horizontal="left" vertical="center"/>
      <protection/>
    </xf>
    <xf numFmtId="49" fontId="18" fillId="0" borderId="30" xfId="0" applyNumberFormat="1" applyFont="1" applyFill="1" applyBorder="1" applyAlignment="1" applyProtection="1">
      <alignment horizontal="center" vertical="center"/>
      <protection/>
    </xf>
    <xf numFmtId="49" fontId="18" fillId="0" borderId="31" xfId="0" applyNumberFormat="1" applyFont="1" applyFill="1" applyBorder="1" applyAlignment="1" applyProtection="1">
      <alignment horizontal="center" vertical="center"/>
      <protection/>
    </xf>
    <xf numFmtId="49" fontId="18" fillId="0" borderId="32" xfId="0" applyNumberFormat="1" applyFont="1" applyFill="1" applyBorder="1" applyAlignment="1" applyProtection="1">
      <alignment horizontal="center" vertical="center"/>
      <protection/>
    </xf>
    <xf numFmtId="49" fontId="0" fillId="0" borderId="33" xfId="0" applyNumberFormat="1" applyFont="1" applyFill="1" applyBorder="1" applyAlignment="1" applyProtection="1">
      <alignment horizontal="left" vertical="center"/>
      <protection/>
    </xf>
    <xf numFmtId="49" fontId="0" fillId="0" borderId="34" xfId="0" applyNumberFormat="1" applyFont="1" applyFill="1" applyBorder="1" applyAlignment="1" applyProtection="1">
      <alignment horizontal="left" vertical="center"/>
      <protection/>
    </xf>
    <xf numFmtId="49" fontId="18" fillId="0" borderId="35" xfId="0" applyNumberFormat="1" applyFont="1" applyFill="1" applyBorder="1" applyAlignment="1" applyProtection="1">
      <alignment horizontal="center" vertical="center"/>
      <protection/>
    </xf>
    <xf numFmtId="49" fontId="18" fillId="0" borderId="36" xfId="0" applyNumberFormat="1" applyFont="1" applyFill="1" applyBorder="1" applyAlignment="1" applyProtection="1">
      <alignment horizontal="center" vertical="center"/>
      <protection/>
    </xf>
    <xf numFmtId="49" fontId="18" fillId="0" borderId="22" xfId="0" applyNumberFormat="1" applyFont="1" applyFill="1" applyBorder="1" applyAlignment="1" applyProtection="1">
      <alignment horizontal="center" vertical="center"/>
      <protection/>
    </xf>
    <xf numFmtId="49" fontId="18" fillId="0" borderId="37" xfId="0" applyNumberFormat="1" applyFont="1" applyFill="1" applyBorder="1" applyAlignment="1" applyProtection="1">
      <alignment horizontal="center" vertical="center"/>
      <protection/>
    </xf>
    <xf numFmtId="49" fontId="18" fillId="0" borderId="38" xfId="0" applyNumberFormat="1" applyFont="1" applyFill="1" applyBorder="1" applyAlignment="1" applyProtection="1">
      <alignment horizontal="center" vertical="center"/>
      <protection/>
    </xf>
    <xf numFmtId="49" fontId="0" fillId="33" borderId="39" xfId="0" applyNumberFormat="1" applyFont="1" applyFill="1" applyBorder="1" applyAlignment="1" applyProtection="1">
      <alignment horizontal="left" vertical="center"/>
      <protection/>
    </xf>
    <xf numFmtId="49" fontId="18" fillId="33" borderId="19" xfId="0" applyNumberFormat="1" applyFont="1" applyFill="1" applyBorder="1" applyAlignment="1" applyProtection="1">
      <alignment horizontal="left" vertical="center"/>
      <protection/>
    </xf>
    <xf numFmtId="49" fontId="0" fillId="33" borderId="19" xfId="0" applyNumberFormat="1" applyFont="1" applyFill="1" applyBorder="1" applyAlignment="1" applyProtection="1">
      <alignment horizontal="left" vertical="center"/>
      <protection/>
    </xf>
    <xf numFmtId="4" fontId="18" fillId="33" borderId="19" xfId="0" applyNumberFormat="1" applyFont="1" applyFill="1" applyBorder="1" applyAlignment="1" applyProtection="1">
      <alignment horizontal="right" vertical="center"/>
      <protection/>
    </xf>
    <xf numFmtId="49" fontId="18" fillId="33" borderId="19" xfId="0" applyNumberFormat="1" applyFont="1" applyFill="1" applyBorder="1" applyAlignment="1" applyProtection="1">
      <alignment horizontal="right" vertical="center"/>
      <protection/>
    </xf>
    <xf numFmtId="49" fontId="18" fillId="33" borderId="23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4" fontId="1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49" fontId="0" fillId="33" borderId="10" xfId="0" applyNumberFormat="1" applyFont="1" applyFill="1" applyBorder="1" applyAlignment="1" applyProtection="1">
      <alignment horizontal="left" vertical="center"/>
      <protection/>
    </xf>
    <xf numFmtId="49" fontId="18" fillId="33" borderId="0" xfId="0" applyNumberFormat="1" applyFont="1" applyFill="1" applyBorder="1" applyAlignment="1" applyProtection="1">
      <alignment horizontal="left" vertical="center"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4" fontId="18" fillId="33" borderId="0" xfId="0" applyNumberFormat="1" applyFont="1" applyFill="1" applyBorder="1" applyAlignment="1" applyProtection="1">
      <alignment horizontal="right" vertical="center"/>
      <protection/>
    </xf>
    <xf numFmtId="49" fontId="18" fillId="33" borderId="0" xfId="0" applyNumberFormat="1" applyFont="1" applyFill="1" applyBorder="1" applyAlignment="1" applyProtection="1">
      <alignment horizontal="right" vertical="center"/>
      <protection/>
    </xf>
    <xf numFmtId="49" fontId="18" fillId="33" borderId="12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right" vertical="center"/>
      <protection/>
    </xf>
    <xf numFmtId="49" fontId="10" fillId="35" borderId="27" xfId="0" applyNumberFormat="1" applyFont="1" applyFill="1" applyBorder="1" applyAlignment="1" applyProtection="1">
      <alignment horizontal="left" vertical="center"/>
      <protection/>
    </xf>
    <xf numFmtId="4" fontId="0" fillId="36" borderId="0" xfId="0" applyNumberFormat="1" applyFont="1" applyFill="1" applyBorder="1" applyAlignment="1" applyProtection="1">
      <alignment horizontal="right" vertical="center"/>
      <protection/>
    </xf>
    <xf numFmtId="4" fontId="52" fillId="36" borderId="0" xfId="0" applyNumberFormat="1" applyFont="1" applyFill="1" applyBorder="1" applyAlignment="1" applyProtection="1">
      <alignment horizontal="right" vertical="center"/>
      <protection/>
    </xf>
    <xf numFmtId="4" fontId="5" fillId="36" borderId="0" xfId="0" applyNumberFormat="1" applyFont="1" applyFill="1" applyBorder="1" applyAlignment="1" applyProtection="1">
      <alignment horizontal="right" vertical="center"/>
      <protection/>
    </xf>
    <xf numFmtId="4" fontId="6" fillId="36" borderId="0" xfId="0" applyNumberFormat="1" applyFont="1" applyFill="1" applyBorder="1" applyAlignment="1" applyProtection="1">
      <alignment horizontal="right" vertical="center"/>
      <protection/>
    </xf>
    <xf numFmtId="4" fontId="5" fillId="36" borderId="27" xfId="0" applyNumberFormat="1" applyFont="1" applyFill="1" applyBorder="1" applyAlignment="1" applyProtection="1">
      <alignment horizontal="right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49" fontId="11" fillId="0" borderId="42" xfId="0" applyNumberFormat="1" applyFont="1" applyFill="1" applyBorder="1" applyAlignment="1" applyProtection="1">
      <alignment horizontal="center" vertical="center"/>
      <protection/>
    </xf>
    <xf numFmtId="0" fontId="11" fillId="0" borderId="42" xfId="0" applyNumberFormat="1" applyFont="1" applyFill="1" applyBorder="1" applyAlignment="1" applyProtection="1">
      <alignment horizontal="center" vertical="center"/>
      <protection/>
    </xf>
    <xf numFmtId="49" fontId="15" fillId="0" borderId="43" xfId="0" applyNumberFormat="1" applyFont="1" applyFill="1" applyBorder="1" applyAlignment="1" applyProtection="1">
      <alignment horizontal="left" vertical="center"/>
      <protection/>
    </xf>
    <xf numFmtId="0" fontId="15" fillId="0" borderId="24" xfId="0" applyNumberFormat="1" applyFont="1" applyFill="1" applyBorder="1" applyAlignment="1" applyProtection="1">
      <alignment horizontal="left" vertical="center"/>
      <protection/>
    </xf>
    <xf numFmtId="49" fontId="14" fillId="0" borderId="43" xfId="0" applyNumberFormat="1" applyFont="1" applyFill="1" applyBorder="1" applyAlignment="1" applyProtection="1">
      <alignment horizontal="left" vertical="center"/>
      <protection/>
    </xf>
    <xf numFmtId="0" fontId="14" fillId="0" borderId="24" xfId="0" applyNumberFormat="1" applyFont="1" applyFill="1" applyBorder="1" applyAlignment="1" applyProtection="1">
      <alignment horizontal="left" vertical="center"/>
      <protection/>
    </xf>
    <xf numFmtId="49" fontId="13" fillId="0" borderId="43" xfId="0" applyNumberFormat="1" applyFont="1" applyFill="1" applyBorder="1" applyAlignment="1" applyProtection="1">
      <alignment horizontal="left" vertical="center"/>
      <protection/>
    </xf>
    <xf numFmtId="0" fontId="13" fillId="0" borderId="24" xfId="0" applyNumberFormat="1" applyFont="1" applyFill="1" applyBorder="1" applyAlignment="1" applyProtection="1">
      <alignment horizontal="left" vertical="center"/>
      <protection/>
    </xf>
    <xf numFmtId="49" fontId="13" fillId="34" borderId="43" xfId="0" applyNumberFormat="1" applyFont="1" applyFill="1" applyBorder="1" applyAlignment="1" applyProtection="1">
      <alignment horizontal="left" vertical="center"/>
      <protection/>
    </xf>
    <xf numFmtId="0" fontId="13" fillId="34" borderId="42" xfId="0" applyNumberFormat="1" applyFont="1" applyFill="1" applyBorder="1" applyAlignment="1" applyProtection="1">
      <alignment horizontal="left" vertical="center"/>
      <protection/>
    </xf>
    <xf numFmtId="49" fontId="14" fillId="0" borderId="44" xfId="0" applyNumberFormat="1" applyFont="1" applyFill="1" applyBorder="1" applyAlignment="1" applyProtection="1">
      <alignment horizontal="left" vertical="center"/>
      <protection/>
    </xf>
    <xf numFmtId="0" fontId="14" fillId="0" borderId="19" xfId="0" applyNumberFormat="1" applyFont="1" applyFill="1" applyBorder="1" applyAlignment="1" applyProtection="1">
      <alignment horizontal="left" vertical="center"/>
      <protection/>
    </xf>
    <xf numFmtId="0" fontId="14" fillId="0" borderId="45" xfId="0" applyNumberFormat="1" applyFont="1" applyFill="1" applyBorder="1" applyAlignment="1" applyProtection="1">
      <alignment horizontal="left" vertical="center"/>
      <protection/>
    </xf>
    <xf numFmtId="49" fontId="14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46" xfId="0" applyNumberFormat="1" applyFont="1" applyFill="1" applyBorder="1" applyAlignment="1" applyProtection="1">
      <alignment horizontal="left" vertical="center"/>
      <protection/>
    </xf>
    <xf numFmtId="49" fontId="14" fillId="0" borderId="47" xfId="0" applyNumberFormat="1" applyFont="1" applyFill="1" applyBorder="1" applyAlignment="1" applyProtection="1">
      <alignment horizontal="left" vertical="center"/>
      <protection/>
    </xf>
    <xf numFmtId="0" fontId="14" fillId="0" borderId="48" xfId="0" applyNumberFormat="1" applyFont="1" applyFill="1" applyBorder="1" applyAlignment="1" applyProtection="1">
      <alignment horizontal="left" vertical="center"/>
      <protection/>
    </xf>
    <xf numFmtId="0" fontId="14" fillId="0" borderId="49" xfId="0" applyNumberFormat="1" applyFont="1" applyFill="1" applyBorder="1" applyAlignment="1" applyProtection="1">
      <alignment horizontal="left" vertical="center"/>
      <protection/>
    </xf>
    <xf numFmtId="49" fontId="17" fillId="0" borderId="14" xfId="0" applyNumberFormat="1" applyFont="1" applyFill="1" applyBorder="1" applyAlignment="1" applyProtection="1">
      <alignment horizont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40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50" xfId="0" applyNumberFormat="1" applyFont="1" applyFill="1" applyBorder="1" applyAlignment="1" applyProtection="1">
      <alignment horizontal="left" vertical="center"/>
      <protection/>
    </xf>
    <xf numFmtId="0" fontId="0" fillId="0" borderId="48" xfId="0" applyNumberFormat="1" applyFont="1" applyFill="1" applyBorder="1" applyAlignment="1" applyProtection="1">
      <alignment horizontal="left" vertical="center"/>
      <protection/>
    </xf>
    <xf numFmtId="0" fontId="0" fillId="0" borderId="51" xfId="0" applyNumberFormat="1" applyFont="1" applyFill="1" applyBorder="1" applyAlignment="1" applyProtection="1">
      <alignment horizontal="left" vertical="center"/>
      <protection/>
    </xf>
    <xf numFmtId="49" fontId="18" fillId="0" borderId="39" xfId="0" applyNumberFormat="1" applyFont="1" applyFill="1" applyBorder="1" applyAlignment="1" applyProtection="1">
      <alignment horizontal="left" vertical="center"/>
      <protection/>
    </xf>
    <xf numFmtId="0" fontId="18" fillId="0" borderId="23" xfId="0" applyNumberFormat="1" applyFont="1" applyFill="1" applyBorder="1" applyAlignment="1" applyProtection="1">
      <alignment horizontal="left" vertical="center"/>
      <protection/>
    </xf>
    <xf numFmtId="49" fontId="18" fillId="0" borderId="52" xfId="0" applyNumberFormat="1" applyFont="1" applyFill="1" applyBorder="1" applyAlignment="1" applyProtection="1">
      <alignment horizontal="center" vertical="center"/>
      <protection/>
    </xf>
    <xf numFmtId="0" fontId="18" fillId="0" borderId="53" xfId="0" applyNumberFormat="1" applyFont="1" applyFill="1" applyBorder="1" applyAlignment="1" applyProtection="1">
      <alignment horizontal="center" vertical="center"/>
      <protection/>
    </xf>
    <xf numFmtId="0" fontId="18" fillId="0" borderId="54" xfId="0" applyNumberFormat="1" applyFont="1" applyFill="1" applyBorder="1" applyAlignment="1" applyProtection="1">
      <alignment horizontal="center" vertical="center"/>
      <protection/>
    </xf>
    <xf numFmtId="49" fontId="18" fillId="0" borderId="50" xfId="0" applyNumberFormat="1" applyFont="1" applyFill="1" applyBorder="1" applyAlignment="1" applyProtection="1">
      <alignment horizontal="left" vertical="center"/>
      <protection/>
    </xf>
    <xf numFmtId="0" fontId="18" fillId="0" borderId="51" xfId="0" applyNumberFormat="1" applyFont="1" applyFill="1" applyBorder="1" applyAlignment="1" applyProtection="1">
      <alignment horizontal="left" vertical="center"/>
      <protection/>
    </xf>
    <xf numFmtId="49" fontId="18" fillId="33" borderId="19" xfId="0" applyNumberFormat="1" applyFont="1" applyFill="1" applyBorder="1" applyAlignment="1" applyProtection="1">
      <alignment horizontal="left" vertical="center"/>
      <protection/>
    </xf>
    <xf numFmtId="0" fontId="18" fillId="33" borderId="19" xfId="0" applyNumberFormat="1" applyFont="1" applyFill="1" applyBorder="1" applyAlignment="1" applyProtection="1">
      <alignment horizontal="left" vertical="center"/>
      <protection/>
    </xf>
    <xf numFmtId="49" fontId="18" fillId="33" borderId="0" xfId="0" applyNumberFormat="1" applyFont="1" applyFill="1" applyBorder="1" applyAlignment="1" applyProtection="1">
      <alignment horizontal="left" vertical="center"/>
      <protection/>
    </xf>
    <xf numFmtId="0" fontId="18" fillId="33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0" fillId="35" borderId="27" xfId="0" applyNumberFormat="1" applyFont="1" applyFill="1" applyBorder="1" applyAlignment="1" applyProtection="1">
      <alignment horizontal="left" vertical="center"/>
      <protection/>
    </xf>
    <xf numFmtId="0" fontId="0" fillId="0" borderId="27" xfId="0" applyNumberFormat="1" applyFont="1" applyFill="1" applyBorder="1" applyAlignment="1" applyProtection="1">
      <alignment horizontal="left" vertical="center"/>
      <protection/>
    </xf>
    <xf numFmtId="49" fontId="5" fillId="35" borderId="27" xfId="0" applyNumberFormat="1" applyFont="1" applyFill="1" applyBorder="1" applyAlignment="1" applyProtection="1">
      <alignment horizontal="left" vertical="center"/>
      <protection/>
    </xf>
    <xf numFmtId="0" fontId="5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876300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876300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3">
      <selection activeCell="K24" sqref="K24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42"/>
      <c r="B1" s="27"/>
      <c r="C1" s="106" t="s">
        <v>999</v>
      </c>
      <c r="D1" s="107"/>
      <c r="E1" s="107"/>
      <c r="F1" s="107"/>
      <c r="G1" s="107"/>
      <c r="H1" s="107"/>
      <c r="I1" s="107"/>
    </row>
    <row r="2" spans="1:10" ht="12.75">
      <c r="A2" s="108" t="s">
        <v>1</v>
      </c>
      <c r="B2" s="109"/>
      <c r="C2" s="112" t="str">
        <f>'Stavební rozpočet'!D2</f>
        <v>Oprava omítky a balkónů, č.p. 1093, Šluknov - SO.02 - Fasáda</v>
      </c>
      <c r="D2" s="113"/>
      <c r="E2" s="115" t="s">
        <v>893</v>
      </c>
      <c r="F2" s="115" t="str">
        <f>'Stavební rozpočet'!I2</f>
        <v>Město Šluknov</v>
      </c>
      <c r="G2" s="109"/>
      <c r="H2" s="115" t="s">
        <v>1022</v>
      </c>
      <c r="I2" s="116" t="s">
        <v>1026</v>
      </c>
      <c r="J2" s="1"/>
    </row>
    <row r="3" spans="1:10" ht="12.75">
      <c r="A3" s="110"/>
      <c r="B3" s="111"/>
      <c r="C3" s="114"/>
      <c r="D3" s="114"/>
      <c r="E3" s="111"/>
      <c r="F3" s="111"/>
      <c r="G3" s="111"/>
      <c r="H3" s="111"/>
      <c r="I3" s="117"/>
      <c r="J3" s="1"/>
    </row>
    <row r="4" spans="1:10" ht="12.75">
      <c r="A4" s="118" t="s">
        <v>2</v>
      </c>
      <c r="B4" s="111"/>
      <c r="C4" s="119" t="str">
        <f>'Stavební rozpočet'!D4</f>
        <v> </v>
      </c>
      <c r="D4" s="111"/>
      <c r="E4" s="119" t="s">
        <v>894</v>
      </c>
      <c r="F4" s="119" t="str">
        <f>'Stavební rozpočet'!I4</f>
        <v>Jan Hošek</v>
      </c>
      <c r="G4" s="111"/>
      <c r="H4" s="119" t="s">
        <v>1022</v>
      </c>
      <c r="I4" s="120" t="s">
        <v>1027</v>
      </c>
      <c r="J4" s="1"/>
    </row>
    <row r="5" spans="1:10" ht="12.75">
      <c r="A5" s="110"/>
      <c r="B5" s="111"/>
      <c r="C5" s="111"/>
      <c r="D5" s="111"/>
      <c r="E5" s="111"/>
      <c r="F5" s="111"/>
      <c r="G5" s="111"/>
      <c r="H5" s="111"/>
      <c r="I5" s="117"/>
      <c r="J5" s="1"/>
    </row>
    <row r="6" spans="1:10" ht="12.75">
      <c r="A6" s="118" t="s">
        <v>3</v>
      </c>
      <c r="B6" s="111"/>
      <c r="C6" s="119" t="str">
        <f>'Stavební rozpočet'!D6</f>
        <v>Lužická 1093, 407 77 Šluknov, p.p.č. 1346/67 v k.ú. Šluknov</v>
      </c>
      <c r="D6" s="111"/>
      <c r="E6" s="119" t="s">
        <v>895</v>
      </c>
      <c r="F6" s="119" t="str">
        <f>'Stavební rozpočet'!I6</f>
        <v>Bude vybrán investorem</v>
      </c>
      <c r="G6" s="111"/>
      <c r="H6" s="119" t="s">
        <v>1022</v>
      </c>
      <c r="I6" s="120"/>
      <c r="J6" s="1"/>
    </row>
    <row r="7" spans="1:10" ht="12.75">
      <c r="A7" s="110"/>
      <c r="B7" s="111"/>
      <c r="C7" s="111"/>
      <c r="D7" s="111"/>
      <c r="E7" s="111"/>
      <c r="F7" s="111"/>
      <c r="G7" s="111"/>
      <c r="H7" s="111"/>
      <c r="I7" s="117"/>
      <c r="J7" s="1"/>
    </row>
    <row r="8" spans="1:10" ht="12.75">
      <c r="A8" s="118" t="s">
        <v>759</v>
      </c>
      <c r="B8" s="111"/>
      <c r="C8" s="119" t="str">
        <f>'Stavební rozpočet'!F4</f>
        <v> </v>
      </c>
      <c r="D8" s="111"/>
      <c r="E8" s="119" t="s">
        <v>760</v>
      </c>
      <c r="F8" s="119" t="str">
        <f>'Stavební rozpočet'!F6</f>
        <v> </v>
      </c>
      <c r="G8" s="111"/>
      <c r="H8" s="121" t="s">
        <v>1023</v>
      </c>
      <c r="I8" s="120" t="s">
        <v>165</v>
      </c>
      <c r="J8" s="1"/>
    </row>
    <row r="9" spans="1:10" ht="12.75">
      <c r="A9" s="110"/>
      <c r="B9" s="111"/>
      <c r="C9" s="111"/>
      <c r="D9" s="111"/>
      <c r="E9" s="111"/>
      <c r="F9" s="111"/>
      <c r="G9" s="111"/>
      <c r="H9" s="111"/>
      <c r="I9" s="117"/>
      <c r="J9" s="1"/>
    </row>
    <row r="10" spans="1:10" ht="12.75">
      <c r="A10" s="118" t="s">
        <v>4</v>
      </c>
      <c r="B10" s="111"/>
      <c r="C10" s="119">
        <f>'Stavební rozpočet'!D8</f>
        <v>801</v>
      </c>
      <c r="D10" s="111"/>
      <c r="E10" s="119" t="s">
        <v>896</v>
      </c>
      <c r="F10" s="119" t="str">
        <f>'Stavební rozpočet'!I8</f>
        <v>Tomáš Bernatík</v>
      </c>
      <c r="G10" s="111"/>
      <c r="H10" s="121" t="s">
        <v>1024</v>
      </c>
      <c r="I10" s="124" t="str">
        <f>'Stavební rozpočet'!F8</f>
        <v>21.03.2022</v>
      </c>
      <c r="J10" s="1"/>
    </row>
    <row r="11" spans="1:10" ht="12.75">
      <c r="A11" s="122"/>
      <c r="B11" s="123"/>
      <c r="C11" s="123"/>
      <c r="D11" s="123"/>
      <c r="E11" s="123"/>
      <c r="F11" s="123"/>
      <c r="G11" s="123"/>
      <c r="H11" s="123"/>
      <c r="I11" s="125"/>
      <c r="J11" s="1"/>
    </row>
    <row r="12" spans="1:9" ht="23.25" customHeight="1">
      <c r="A12" s="126" t="s">
        <v>984</v>
      </c>
      <c r="B12" s="127"/>
      <c r="C12" s="127"/>
      <c r="D12" s="127"/>
      <c r="E12" s="127"/>
      <c r="F12" s="127"/>
      <c r="G12" s="127"/>
      <c r="H12" s="127"/>
      <c r="I12" s="127"/>
    </row>
    <row r="13" spans="1:10" ht="26.25" customHeight="1">
      <c r="A13" s="28" t="s">
        <v>985</v>
      </c>
      <c r="B13" s="128" t="s">
        <v>997</v>
      </c>
      <c r="C13" s="129"/>
      <c r="D13" s="28" t="s">
        <v>1000</v>
      </c>
      <c r="E13" s="128" t="s">
        <v>1010</v>
      </c>
      <c r="F13" s="129"/>
      <c r="G13" s="28" t="s">
        <v>1011</v>
      </c>
      <c r="H13" s="128" t="s">
        <v>1025</v>
      </c>
      <c r="I13" s="129"/>
      <c r="J13" s="1"/>
    </row>
    <row r="14" spans="1:10" ht="15" customHeight="1">
      <c r="A14" s="29" t="s">
        <v>986</v>
      </c>
      <c r="B14" s="33" t="s">
        <v>998</v>
      </c>
      <c r="C14" s="37">
        <f>SUM('Stavební rozpočet'!AB12:AB718)</f>
        <v>0</v>
      </c>
      <c r="D14" s="130" t="s">
        <v>1001</v>
      </c>
      <c r="E14" s="131"/>
      <c r="F14" s="37">
        <v>0</v>
      </c>
      <c r="G14" s="130" t="s">
        <v>751</v>
      </c>
      <c r="H14" s="131"/>
      <c r="I14" s="38" t="s">
        <v>1028</v>
      </c>
      <c r="J14" s="1"/>
    </row>
    <row r="15" spans="1:10" ht="15" customHeight="1">
      <c r="A15" s="30"/>
      <c r="B15" s="33" t="s">
        <v>906</v>
      </c>
      <c r="C15" s="37">
        <f>SUM('Stavební rozpočet'!AC12:AC718)</f>
        <v>0</v>
      </c>
      <c r="D15" s="130" t="s">
        <v>1002</v>
      </c>
      <c r="E15" s="131"/>
      <c r="F15" s="37">
        <v>0</v>
      </c>
      <c r="G15" s="130" t="s">
        <v>1012</v>
      </c>
      <c r="H15" s="131"/>
      <c r="I15" s="38" t="s">
        <v>1028</v>
      </c>
      <c r="J15" s="1"/>
    </row>
    <row r="16" spans="1:10" ht="15" customHeight="1">
      <c r="A16" s="29" t="s">
        <v>987</v>
      </c>
      <c r="B16" s="33" t="s">
        <v>998</v>
      </c>
      <c r="C16" s="37">
        <f>SUM('Stavební rozpočet'!AD12:AD718)</f>
        <v>0</v>
      </c>
      <c r="D16" s="130" t="s">
        <v>1003</v>
      </c>
      <c r="E16" s="131"/>
      <c r="F16" s="37">
        <v>0</v>
      </c>
      <c r="G16" s="130" t="s">
        <v>755</v>
      </c>
      <c r="H16" s="131"/>
      <c r="I16" s="38" t="s">
        <v>1028</v>
      </c>
      <c r="J16" s="1"/>
    </row>
    <row r="17" spans="1:10" ht="15" customHeight="1">
      <c r="A17" s="30"/>
      <c r="B17" s="33" t="s">
        <v>906</v>
      </c>
      <c r="C17" s="37">
        <f>SUM('Stavební rozpočet'!AE12:AE718)</f>
        <v>0</v>
      </c>
      <c r="D17" s="130" t="s">
        <v>1004</v>
      </c>
      <c r="E17" s="131"/>
      <c r="F17" s="38"/>
      <c r="G17" s="130" t="s">
        <v>757</v>
      </c>
      <c r="H17" s="131"/>
      <c r="I17" s="38" t="s">
        <v>1028</v>
      </c>
      <c r="J17" s="1"/>
    </row>
    <row r="18" spans="1:10" ht="15" customHeight="1">
      <c r="A18" s="29" t="s">
        <v>988</v>
      </c>
      <c r="B18" s="33" t="s">
        <v>998</v>
      </c>
      <c r="C18" s="37">
        <f>SUM('Stavební rozpočet'!AF12:AF718)</f>
        <v>0</v>
      </c>
      <c r="D18" s="130"/>
      <c r="E18" s="131"/>
      <c r="F18" s="38"/>
      <c r="G18" s="130" t="s">
        <v>1013</v>
      </c>
      <c r="H18" s="131"/>
      <c r="I18" s="38" t="s">
        <v>1028</v>
      </c>
      <c r="J18" s="1"/>
    </row>
    <row r="19" spans="1:10" ht="15" customHeight="1">
      <c r="A19" s="30"/>
      <c r="B19" s="33" t="s">
        <v>906</v>
      </c>
      <c r="C19" s="37">
        <f>SUM('Stavební rozpočet'!AG12:AG718)</f>
        <v>0</v>
      </c>
      <c r="D19" s="130"/>
      <c r="E19" s="131"/>
      <c r="F19" s="38"/>
      <c r="G19" s="130" t="s">
        <v>1014</v>
      </c>
      <c r="H19" s="131"/>
      <c r="I19" s="38" t="s">
        <v>1028</v>
      </c>
      <c r="J19" s="1"/>
    </row>
    <row r="20" spans="1:10" ht="15" customHeight="1">
      <c r="A20" s="132" t="s">
        <v>989</v>
      </c>
      <c r="B20" s="133"/>
      <c r="C20" s="37">
        <f>SUM('Stavební rozpočet'!AH12:AH718)</f>
        <v>0</v>
      </c>
      <c r="D20" s="130"/>
      <c r="E20" s="131"/>
      <c r="F20" s="38"/>
      <c r="G20" s="130"/>
      <c r="H20" s="131"/>
      <c r="I20" s="38"/>
      <c r="J20" s="1"/>
    </row>
    <row r="21" spans="1:10" ht="15" customHeight="1">
      <c r="A21" s="132" t="s">
        <v>990</v>
      </c>
      <c r="B21" s="133"/>
      <c r="C21" s="37">
        <f>SUM('Stavební rozpočet'!Z12:Z718)</f>
        <v>0</v>
      </c>
      <c r="D21" s="130"/>
      <c r="E21" s="131"/>
      <c r="F21" s="38"/>
      <c r="G21" s="130"/>
      <c r="H21" s="131"/>
      <c r="I21" s="38"/>
      <c r="J21" s="1"/>
    </row>
    <row r="22" spans="1:10" ht="16.5" customHeight="1">
      <c r="A22" s="132" t="s">
        <v>991</v>
      </c>
      <c r="B22" s="133"/>
      <c r="C22" s="37">
        <f>SUM(C14:C21)</f>
        <v>0</v>
      </c>
      <c r="D22" s="132" t="s">
        <v>1005</v>
      </c>
      <c r="E22" s="133"/>
      <c r="F22" s="37">
        <f>SUM(F14:F21)</f>
        <v>0</v>
      </c>
      <c r="G22" s="132" t="s">
        <v>1015</v>
      </c>
      <c r="H22" s="133"/>
      <c r="I22" s="37">
        <f>SUM(I14:I21)</f>
        <v>0</v>
      </c>
      <c r="J22" s="1"/>
    </row>
    <row r="23" spans="1:10" ht="15" customHeight="1">
      <c r="A23" s="3"/>
      <c r="B23" s="3"/>
      <c r="C23" s="35"/>
      <c r="D23" s="132" t="s">
        <v>1006</v>
      </c>
      <c r="E23" s="133"/>
      <c r="F23" s="39">
        <v>0</v>
      </c>
      <c r="G23" s="132" t="s">
        <v>1016</v>
      </c>
      <c r="H23" s="133"/>
      <c r="I23" s="37">
        <v>0</v>
      </c>
      <c r="J23" s="1"/>
    </row>
    <row r="24" spans="4:10" ht="15" customHeight="1">
      <c r="D24" s="3"/>
      <c r="E24" s="3"/>
      <c r="F24" s="40"/>
      <c r="G24" s="132" t="s">
        <v>1017</v>
      </c>
      <c r="H24" s="133"/>
      <c r="I24" s="37"/>
      <c r="J24" s="1"/>
    </row>
    <row r="25" spans="6:10" ht="15" customHeight="1">
      <c r="F25" s="16"/>
      <c r="G25" s="132" t="s">
        <v>1018</v>
      </c>
      <c r="H25" s="133"/>
      <c r="I25" s="37">
        <v>0</v>
      </c>
      <c r="J25" s="1"/>
    </row>
    <row r="26" spans="1:9" ht="12.75">
      <c r="A26" s="27"/>
      <c r="B26" s="27"/>
      <c r="C26" s="27"/>
      <c r="G26" s="3"/>
      <c r="H26" s="3"/>
      <c r="I26" s="3"/>
    </row>
    <row r="27" spans="1:9" ht="15" customHeight="1">
      <c r="A27" s="134" t="s">
        <v>992</v>
      </c>
      <c r="B27" s="135"/>
      <c r="C27" s="41">
        <f>SUM('Stavební rozpočet'!AJ12:AJ718)</f>
        <v>0</v>
      </c>
      <c r="D27" s="36"/>
      <c r="E27" s="27"/>
      <c r="F27" s="27"/>
      <c r="G27" s="27"/>
      <c r="H27" s="27"/>
      <c r="I27" s="27"/>
    </row>
    <row r="28" spans="1:10" ht="15" customHeight="1">
      <c r="A28" s="134" t="s">
        <v>993</v>
      </c>
      <c r="B28" s="135"/>
      <c r="C28" s="41">
        <f>SUM('Stavební rozpočet'!AK12:AK718)</f>
        <v>0</v>
      </c>
      <c r="D28" s="134" t="s">
        <v>1007</v>
      </c>
      <c r="E28" s="135"/>
      <c r="F28" s="41">
        <f>ROUND(C28*(15/100),2)</f>
        <v>0</v>
      </c>
      <c r="G28" s="134" t="s">
        <v>1019</v>
      </c>
      <c r="H28" s="135"/>
      <c r="I28" s="41">
        <f>SUM(C27:C29)</f>
        <v>0</v>
      </c>
      <c r="J28" s="1"/>
    </row>
    <row r="29" spans="1:10" ht="15" customHeight="1">
      <c r="A29" s="134" t="s">
        <v>994</v>
      </c>
      <c r="B29" s="135"/>
      <c r="C29" s="41">
        <f>SUM('Stavební rozpočet'!AL12:AL718)</f>
        <v>0</v>
      </c>
      <c r="D29" s="134" t="s">
        <v>1008</v>
      </c>
      <c r="E29" s="135"/>
      <c r="F29" s="41">
        <f>ROUND(C29*(21/100),2)</f>
        <v>0</v>
      </c>
      <c r="G29" s="134" t="s">
        <v>1020</v>
      </c>
      <c r="H29" s="135"/>
      <c r="I29" s="41">
        <f>SUM(F28:F29)+I28</f>
        <v>0</v>
      </c>
      <c r="J29" s="1"/>
    </row>
    <row r="30" spans="1:9" ht="12.75">
      <c r="A30" s="31"/>
      <c r="B30" s="31"/>
      <c r="C30" s="31"/>
      <c r="D30" s="31"/>
      <c r="E30" s="31"/>
      <c r="F30" s="31"/>
      <c r="G30" s="31"/>
      <c r="H30" s="31"/>
      <c r="I30" s="31"/>
    </row>
    <row r="31" spans="1:10" ht="14.25" customHeight="1">
      <c r="A31" s="136" t="s">
        <v>995</v>
      </c>
      <c r="B31" s="137"/>
      <c r="C31" s="138"/>
      <c r="D31" s="136" t="s">
        <v>1009</v>
      </c>
      <c r="E31" s="137"/>
      <c r="F31" s="138"/>
      <c r="G31" s="136" t="s">
        <v>1021</v>
      </c>
      <c r="H31" s="137"/>
      <c r="I31" s="138"/>
      <c r="J31" s="19"/>
    </row>
    <row r="32" spans="1:10" ht="14.25" customHeight="1">
      <c r="A32" s="139"/>
      <c r="B32" s="140"/>
      <c r="C32" s="141"/>
      <c r="D32" s="139"/>
      <c r="E32" s="140"/>
      <c r="F32" s="141"/>
      <c r="G32" s="139"/>
      <c r="H32" s="140"/>
      <c r="I32" s="141"/>
      <c r="J32" s="19"/>
    </row>
    <row r="33" spans="1:10" ht="14.25" customHeight="1">
      <c r="A33" s="139"/>
      <c r="B33" s="140"/>
      <c r="C33" s="141"/>
      <c r="D33" s="139"/>
      <c r="E33" s="140"/>
      <c r="F33" s="141"/>
      <c r="G33" s="139"/>
      <c r="H33" s="140"/>
      <c r="I33" s="141"/>
      <c r="J33" s="19"/>
    </row>
    <row r="34" spans="1:10" ht="14.25" customHeight="1">
      <c r="A34" s="139"/>
      <c r="B34" s="140"/>
      <c r="C34" s="141"/>
      <c r="D34" s="139"/>
      <c r="E34" s="140"/>
      <c r="F34" s="141"/>
      <c r="G34" s="139"/>
      <c r="H34" s="140"/>
      <c r="I34" s="141"/>
      <c r="J34" s="19"/>
    </row>
    <row r="35" spans="1:10" ht="14.25" customHeight="1">
      <c r="A35" s="142" t="s">
        <v>996</v>
      </c>
      <c r="B35" s="143"/>
      <c r="C35" s="144"/>
      <c r="D35" s="142" t="s">
        <v>996</v>
      </c>
      <c r="E35" s="143"/>
      <c r="F35" s="144"/>
      <c r="G35" s="142" t="s">
        <v>996</v>
      </c>
      <c r="H35" s="143"/>
      <c r="I35" s="144"/>
      <c r="J35" s="19"/>
    </row>
    <row r="36" spans="1:9" ht="11.25" customHeight="1">
      <c r="A36" s="32" t="s">
        <v>166</v>
      </c>
      <c r="B36" s="34"/>
      <c r="C36" s="34"/>
      <c r="D36" s="34"/>
      <c r="E36" s="34"/>
      <c r="F36" s="34"/>
      <c r="G36" s="34"/>
      <c r="H36" s="34"/>
      <c r="I36" s="34"/>
    </row>
    <row r="37" spans="1:9" ht="12.75">
      <c r="A37" s="119"/>
      <c r="B37" s="111"/>
      <c r="C37" s="111"/>
      <c r="D37" s="111"/>
      <c r="E37" s="111"/>
      <c r="F37" s="111"/>
      <c r="G37" s="111"/>
      <c r="H37" s="111"/>
      <c r="I37" s="111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21"/>
  <sheetViews>
    <sheetView tabSelected="1" zoomScalePageLayoutView="0" workbookViewId="0" topLeftCell="A1">
      <pane ySplit="11" topLeftCell="A189" activePane="bottomLeft" state="frozen"/>
      <selection pane="topLeft" activeCell="A1" sqref="A1"/>
      <selection pane="bottomLeft" activeCell="E223" sqref="E223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94.421875" style="0" customWidth="1"/>
    <col min="5" max="5" width="59.57421875" style="0" customWidth="1"/>
    <col min="6" max="6" width="6.7109375" style="0" customWidth="1"/>
    <col min="7" max="7" width="12.8515625" style="0" customWidth="1"/>
    <col min="8" max="8" width="12.00390625" style="0" customWidth="1"/>
    <col min="9" max="11" width="14.28125" style="0" customWidth="1"/>
    <col min="12" max="14" width="11.7109375" style="0" customWidth="1"/>
    <col min="15" max="24" width="11.57421875" style="0" customWidth="1"/>
    <col min="25" max="64" width="12.140625" style="0" hidden="1" customWidth="1"/>
  </cols>
  <sheetData>
    <row r="1" spans="1:14" ht="72.75" customHeight="1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5" ht="12.75">
      <c r="A2" s="147" t="s">
        <v>1</v>
      </c>
      <c r="B2" s="148"/>
      <c r="C2" s="148"/>
      <c r="D2" s="151" t="s">
        <v>349</v>
      </c>
      <c r="E2" s="153" t="s">
        <v>758</v>
      </c>
      <c r="F2" s="153" t="s">
        <v>6</v>
      </c>
      <c r="G2" s="148"/>
      <c r="H2" s="154" t="s">
        <v>893</v>
      </c>
      <c r="I2" s="154" t="s">
        <v>899</v>
      </c>
      <c r="J2" s="148"/>
      <c r="K2" s="148"/>
      <c r="L2" s="148"/>
      <c r="M2" s="148"/>
      <c r="N2" s="155"/>
      <c r="O2" s="1"/>
    </row>
    <row r="3" spans="1:15" ht="12.75">
      <c r="A3" s="149"/>
      <c r="B3" s="150"/>
      <c r="C3" s="150"/>
      <c r="D3" s="152"/>
      <c r="E3" s="150"/>
      <c r="F3" s="150"/>
      <c r="G3" s="150"/>
      <c r="H3" s="150"/>
      <c r="I3" s="150"/>
      <c r="J3" s="150"/>
      <c r="K3" s="150"/>
      <c r="L3" s="150"/>
      <c r="M3" s="150"/>
      <c r="N3" s="156"/>
      <c r="O3" s="1"/>
    </row>
    <row r="4" spans="1:15" ht="12.75">
      <c r="A4" s="157" t="s">
        <v>2</v>
      </c>
      <c r="B4" s="150"/>
      <c r="C4" s="150"/>
      <c r="D4" s="158" t="s">
        <v>6</v>
      </c>
      <c r="E4" s="159" t="s">
        <v>759</v>
      </c>
      <c r="F4" s="159" t="s">
        <v>6</v>
      </c>
      <c r="G4" s="150"/>
      <c r="H4" s="158" t="s">
        <v>894</v>
      </c>
      <c r="I4" s="158" t="s">
        <v>900</v>
      </c>
      <c r="J4" s="150"/>
      <c r="K4" s="150"/>
      <c r="L4" s="150"/>
      <c r="M4" s="150"/>
      <c r="N4" s="156"/>
      <c r="O4" s="1"/>
    </row>
    <row r="5" spans="1:15" ht="12.75">
      <c r="A5" s="149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6"/>
      <c r="O5" s="1"/>
    </row>
    <row r="6" spans="1:15" ht="12.75">
      <c r="A6" s="157" t="s">
        <v>3</v>
      </c>
      <c r="B6" s="150"/>
      <c r="C6" s="150"/>
      <c r="D6" s="158" t="s">
        <v>350</v>
      </c>
      <c r="E6" s="159" t="s">
        <v>760</v>
      </c>
      <c r="F6" s="159" t="s">
        <v>6</v>
      </c>
      <c r="G6" s="150"/>
      <c r="H6" s="158" t="s">
        <v>895</v>
      </c>
      <c r="I6" s="158" t="s">
        <v>901</v>
      </c>
      <c r="J6" s="150"/>
      <c r="K6" s="150"/>
      <c r="L6" s="150"/>
      <c r="M6" s="150"/>
      <c r="N6" s="156"/>
      <c r="O6" s="1"/>
    </row>
    <row r="7" spans="1:15" ht="12.75">
      <c r="A7" s="149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6"/>
      <c r="O7" s="1"/>
    </row>
    <row r="8" spans="1:15" ht="12.75">
      <c r="A8" s="157" t="s">
        <v>4</v>
      </c>
      <c r="B8" s="150"/>
      <c r="C8" s="150"/>
      <c r="D8" s="158">
        <v>801</v>
      </c>
      <c r="E8" s="159" t="s">
        <v>761</v>
      </c>
      <c r="F8" s="159" t="s">
        <v>879</v>
      </c>
      <c r="G8" s="150"/>
      <c r="H8" s="158" t="s">
        <v>896</v>
      </c>
      <c r="I8" s="158" t="s">
        <v>902</v>
      </c>
      <c r="J8" s="150"/>
      <c r="K8" s="150"/>
      <c r="L8" s="150"/>
      <c r="M8" s="150"/>
      <c r="N8" s="156"/>
      <c r="O8" s="1"/>
    </row>
    <row r="9" spans="1:15" ht="12.75">
      <c r="A9" s="160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2"/>
      <c r="O9" s="1"/>
    </row>
    <row r="10" spans="1:64" ht="12.75">
      <c r="A10" s="65" t="s">
        <v>5</v>
      </c>
      <c r="B10" s="66" t="s">
        <v>167</v>
      </c>
      <c r="C10" s="66" t="s">
        <v>168</v>
      </c>
      <c r="D10" s="163" t="s">
        <v>351</v>
      </c>
      <c r="E10" s="164"/>
      <c r="F10" s="66" t="s">
        <v>880</v>
      </c>
      <c r="G10" s="67" t="s">
        <v>892</v>
      </c>
      <c r="H10" s="68" t="s">
        <v>897</v>
      </c>
      <c r="I10" s="165" t="s">
        <v>903</v>
      </c>
      <c r="J10" s="166"/>
      <c r="K10" s="167"/>
      <c r="L10" s="165" t="s">
        <v>908</v>
      </c>
      <c r="M10" s="167"/>
      <c r="N10" s="69" t="s">
        <v>910</v>
      </c>
      <c r="O10" s="19"/>
      <c r="BK10" s="14" t="s">
        <v>980</v>
      </c>
      <c r="BL10" s="24" t="s">
        <v>983</v>
      </c>
    </row>
    <row r="11" spans="1:62" ht="12.75">
      <c r="A11" s="70" t="s">
        <v>6</v>
      </c>
      <c r="B11" s="71" t="s">
        <v>6</v>
      </c>
      <c r="C11" s="71" t="s">
        <v>6</v>
      </c>
      <c r="D11" s="168" t="s">
        <v>352</v>
      </c>
      <c r="E11" s="169"/>
      <c r="F11" s="71" t="s">
        <v>6</v>
      </c>
      <c r="G11" s="71" t="s">
        <v>6</v>
      </c>
      <c r="H11" s="72" t="s">
        <v>898</v>
      </c>
      <c r="I11" s="73" t="s">
        <v>904</v>
      </c>
      <c r="J11" s="74" t="s">
        <v>906</v>
      </c>
      <c r="K11" s="75" t="s">
        <v>907</v>
      </c>
      <c r="L11" s="73" t="s">
        <v>909</v>
      </c>
      <c r="M11" s="75" t="s">
        <v>907</v>
      </c>
      <c r="N11" s="76" t="s">
        <v>911</v>
      </c>
      <c r="O11" s="19"/>
      <c r="Z11" s="14" t="s">
        <v>914</v>
      </c>
      <c r="AA11" s="14" t="s">
        <v>915</v>
      </c>
      <c r="AB11" s="14" t="s">
        <v>916</v>
      </c>
      <c r="AC11" s="14" t="s">
        <v>917</v>
      </c>
      <c r="AD11" s="14" t="s">
        <v>918</v>
      </c>
      <c r="AE11" s="14" t="s">
        <v>919</v>
      </c>
      <c r="AF11" s="14" t="s">
        <v>920</v>
      </c>
      <c r="AG11" s="14" t="s">
        <v>921</v>
      </c>
      <c r="AH11" s="14" t="s">
        <v>922</v>
      </c>
      <c r="BH11" s="14" t="s">
        <v>977</v>
      </c>
      <c r="BI11" s="14" t="s">
        <v>978</v>
      </c>
      <c r="BJ11" s="14" t="s">
        <v>979</v>
      </c>
    </row>
    <row r="12" spans="1:47" ht="12.75">
      <c r="A12" s="77"/>
      <c r="B12" s="78"/>
      <c r="C12" s="78" t="s">
        <v>17</v>
      </c>
      <c r="D12" s="170" t="s">
        <v>353</v>
      </c>
      <c r="E12" s="171"/>
      <c r="F12" s="79" t="s">
        <v>6</v>
      </c>
      <c r="G12" s="79" t="s">
        <v>6</v>
      </c>
      <c r="H12" s="79" t="s">
        <v>6</v>
      </c>
      <c r="I12" s="80">
        <f>SUM(I13:I24)</f>
        <v>0</v>
      </c>
      <c r="J12" s="80">
        <f>SUM(J13:J24)</f>
        <v>0</v>
      </c>
      <c r="K12" s="80">
        <f>SUM(K13:K24)</f>
        <v>0</v>
      </c>
      <c r="L12" s="81"/>
      <c r="M12" s="80">
        <f>SUM(M13:M24)</f>
        <v>49.275299999999994</v>
      </c>
      <c r="N12" s="82"/>
      <c r="O12" s="1"/>
      <c r="AI12" s="14"/>
      <c r="AS12" s="25">
        <f>SUM(AJ13:AJ24)</f>
        <v>0</v>
      </c>
      <c r="AT12" s="25">
        <f>SUM(AK13:AK24)</f>
        <v>0</v>
      </c>
      <c r="AU12" s="25">
        <f>SUM(AL13:AL24)</f>
        <v>0</v>
      </c>
    </row>
    <row r="13" spans="1:64" ht="12.75">
      <c r="A13" s="83" t="s">
        <v>7</v>
      </c>
      <c r="B13" s="64"/>
      <c r="C13" s="64" t="s">
        <v>169</v>
      </c>
      <c r="D13" s="159" t="s">
        <v>354</v>
      </c>
      <c r="E13" s="150"/>
      <c r="F13" s="64" t="s">
        <v>881</v>
      </c>
      <c r="G13" s="84">
        <v>38.53</v>
      </c>
      <c r="H13" s="101"/>
      <c r="I13" s="84">
        <f>G13*AO13</f>
        <v>0</v>
      </c>
      <c r="J13" s="84">
        <f>G13*AP13</f>
        <v>0</v>
      </c>
      <c r="K13" s="84">
        <f>G13*H13</f>
        <v>0</v>
      </c>
      <c r="L13" s="84">
        <v>0.225</v>
      </c>
      <c r="M13" s="84">
        <f>G13*L13</f>
        <v>8.66925</v>
      </c>
      <c r="N13" s="85" t="s">
        <v>912</v>
      </c>
      <c r="O13" s="1"/>
      <c r="Z13" s="20">
        <f>IF(AQ13="5",BJ13,0)</f>
        <v>0</v>
      </c>
      <c r="AB13" s="20">
        <f>IF(AQ13="1",BH13,0)</f>
        <v>0</v>
      </c>
      <c r="AC13" s="20">
        <f>IF(AQ13="1",BI13,0)</f>
        <v>0</v>
      </c>
      <c r="AD13" s="20">
        <f>IF(AQ13="7",BH13,0)</f>
        <v>0</v>
      </c>
      <c r="AE13" s="20">
        <f>IF(AQ13="7",BI13,0)</f>
        <v>0</v>
      </c>
      <c r="AF13" s="20">
        <f>IF(AQ13="2",BH13,0)</f>
        <v>0</v>
      </c>
      <c r="AG13" s="20">
        <f>IF(AQ13="2",BI13,0)</f>
        <v>0</v>
      </c>
      <c r="AH13" s="20">
        <f>IF(AQ13="0",BJ13,0)</f>
        <v>0</v>
      </c>
      <c r="AI13" s="14"/>
      <c r="AJ13" s="11">
        <f>IF(AN13=0,K13,0)</f>
        <v>0</v>
      </c>
      <c r="AK13" s="11">
        <f>IF(AN13=15,K13,0)</f>
        <v>0</v>
      </c>
      <c r="AL13" s="11">
        <f>IF(AN13=21,K13,0)</f>
        <v>0</v>
      </c>
      <c r="AN13" s="20">
        <v>21</v>
      </c>
      <c r="AO13" s="20">
        <f>H13*0</f>
        <v>0</v>
      </c>
      <c r="AP13" s="20">
        <f>H13*(1-0)</f>
        <v>0</v>
      </c>
      <c r="AQ13" s="21" t="s">
        <v>7</v>
      </c>
      <c r="AV13" s="20">
        <f>AW13+AX13</f>
        <v>0</v>
      </c>
      <c r="AW13" s="20">
        <f>G13*AO13</f>
        <v>0</v>
      </c>
      <c r="AX13" s="20">
        <f>G13*AP13</f>
        <v>0</v>
      </c>
      <c r="AY13" s="23" t="s">
        <v>923</v>
      </c>
      <c r="AZ13" s="23" t="s">
        <v>963</v>
      </c>
      <c r="BA13" s="14" t="s">
        <v>976</v>
      </c>
      <c r="BC13" s="20">
        <f>AW13+AX13</f>
        <v>0</v>
      </c>
      <c r="BD13" s="20">
        <f>H13/(100-BE13)*100</f>
        <v>0</v>
      </c>
      <c r="BE13" s="20">
        <v>0</v>
      </c>
      <c r="BF13" s="20">
        <f>M13</f>
        <v>8.66925</v>
      </c>
      <c r="BH13" s="11">
        <f>G13*AO13</f>
        <v>0</v>
      </c>
      <c r="BI13" s="11">
        <f>G13*AP13</f>
        <v>0</v>
      </c>
      <c r="BJ13" s="11">
        <f>G13*H13</f>
        <v>0</v>
      </c>
      <c r="BK13" s="11" t="s">
        <v>981</v>
      </c>
      <c r="BL13" s="20">
        <v>11</v>
      </c>
    </row>
    <row r="14" spans="1:15" ht="12.75">
      <c r="A14" s="86"/>
      <c r="B14" s="87"/>
      <c r="C14" s="87"/>
      <c r="D14" s="63" t="s">
        <v>355</v>
      </c>
      <c r="E14" s="63" t="s">
        <v>762</v>
      </c>
      <c r="F14" s="87"/>
      <c r="G14" s="88">
        <v>9.5</v>
      </c>
      <c r="H14" s="87"/>
      <c r="I14" s="87"/>
      <c r="J14" s="87"/>
      <c r="K14" s="87"/>
      <c r="L14" s="87"/>
      <c r="M14" s="87"/>
      <c r="N14" s="89"/>
      <c r="O14" s="1"/>
    </row>
    <row r="15" spans="1:15" ht="12.75">
      <c r="A15" s="86"/>
      <c r="B15" s="87"/>
      <c r="C15" s="87"/>
      <c r="D15" s="63" t="s">
        <v>356</v>
      </c>
      <c r="E15" s="63" t="s">
        <v>763</v>
      </c>
      <c r="F15" s="87"/>
      <c r="G15" s="88">
        <v>9.0252</v>
      </c>
      <c r="H15" s="87"/>
      <c r="I15" s="87"/>
      <c r="J15" s="87"/>
      <c r="K15" s="87"/>
      <c r="L15" s="87"/>
      <c r="M15" s="87"/>
      <c r="N15" s="89"/>
      <c r="O15" s="1"/>
    </row>
    <row r="16" spans="1:15" ht="12.75">
      <c r="A16" s="86"/>
      <c r="B16" s="87"/>
      <c r="C16" s="87"/>
      <c r="D16" s="63" t="s">
        <v>1033</v>
      </c>
      <c r="E16" s="63" t="s">
        <v>1045</v>
      </c>
      <c r="F16" s="87"/>
      <c r="G16" s="88">
        <v>20</v>
      </c>
      <c r="H16" s="87"/>
      <c r="I16" s="87"/>
      <c r="J16" s="87"/>
      <c r="K16" s="87"/>
      <c r="L16" s="87"/>
      <c r="M16" s="87"/>
      <c r="N16" s="89"/>
      <c r="O16" s="1"/>
    </row>
    <row r="17" spans="1:64" ht="12.75">
      <c r="A17" s="83" t="s">
        <v>8</v>
      </c>
      <c r="B17" s="64"/>
      <c r="C17" s="64" t="s">
        <v>170</v>
      </c>
      <c r="D17" s="159" t="s">
        <v>357</v>
      </c>
      <c r="E17" s="150"/>
      <c r="F17" s="64" t="s">
        <v>881</v>
      </c>
      <c r="G17" s="84">
        <v>78.05125</v>
      </c>
      <c r="H17" s="101"/>
      <c r="I17" s="84">
        <f>G17*AO17</f>
        <v>0</v>
      </c>
      <c r="J17" s="84">
        <f>G17*AP17</f>
        <v>0</v>
      </c>
      <c r="K17" s="84">
        <f>G17*H17</f>
        <v>0</v>
      </c>
      <c r="L17" s="84">
        <v>0.36</v>
      </c>
      <c r="M17" s="84">
        <f>G17*L17</f>
        <v>28.098449999999996</v>
      </c>
      <c r="N17" s="85" t="s">
        <v>912</v>
      </c>
      <c r="O17" s="1"/>
      <c r="Z17" s="20">
        <f>IF(AQ17="5",BJ17,0)</f>
        <v>0</v>
      </c>
      <c r="AB17" s="20">
        <f>IF(AQ17="1",BH17,0)</f>
        <v>0</v>
      </c>
      <c r="AC17" s="20">
        <f>IF(AQ17="1",BI17,0)</f>
        <v>0</v>
      </c>
      <c r="AD17" s="20">
        <f>IF(AQ17="7",BH17,0)</f>
        <v>0</v>
      </c>
      <c r="AE17" s="20">
        <f>IF(AQ17="7",BI17,0)</f>
        <v>0</v>
      </c>
      <c r="AF17" s="20">
        <f>IF(AQ17="2",BH17,0)</f>
        <v>0</v>
      </c>
      <c r="AG17" s="20">
        <f>IF(AQ17="2",BI17,0)</f>
        <v>0</v>
      </c>
      <c r="AH17" s="20">
        <f>IF(AQ17="0",BJ17,0)</f>
        <v>0</v>
      </c>
      <c r="AI17" s="14"/>
      <c r="AJ17" s="11">
        <f>IF(AN17=0,K17,0)</f>
        <v>0</v>
      </c>
      <c r="AK17" s="11">
        <f>IF(AN17=15,K17,0)</f>
        <v>0</v>
      </c>
      <c r="AL17" s="11">
        <f>IF(AN17=21,K17,0)</f>
        <v>0</v>
      </c>
      <c r="AN17" s="20">
        <v>21</v>
      </c>
      <c r="AO17" s="20">
        <f>H17*0</f>
        <v>0</v>
      </c>
      <c r="AP17" s="20">
        <f>H17*(1-0)</f>
        <v>0</v>
      </c>
      <c r="AQ17" s="21" t="s">
        <v>7</v>
      </c>
      <c r="AV17" s="20">
        <f>AW17+AX17</f>
        <v>0</v>
      </c>
      <c r="AW17" s="20">
        <f>G17*AO17</f>
        <v>0</v>
      </c>
      <c r="AX17" s="20">
        <f>G17*AP17</f>
        <v>0</v>
      </c>
      <c r="AY17" s="23" t="s">
        <v>923</v>
      </c>
      <c r="AZ17" s="23" t="s">
        <v>963</v>
      </c>
      <c r="BA17" s="14" t="s">
        <v>976</v>
      </c>
      <c r="BC17" s="20">
        <f>AW17+AX17</f>
        <v>0</v>
      </c>
      <c r="BD17" s="20">
        <f>H17/(100-BE17)*100</f>
        <v>0</v>
      </c>
      <c r="BE17" s="20">
        <v>0</v>
      </c>
      <c r="BF17" s="20">
        <f>M17</f>
        <v>28.098449999999996</v>
      </c>
      <c r="BH17" s="11">
        <f>G17*AO17</f>
        <v>0</v>
      </c>
      <c r="BI17" s="11">
        <f>G17*AP17</f>
        <v>0</v>
      </c>
      <c r="BJ17" s="11">
        <f>G17*H17</f>
        <v>0</v>
      </c>
      <c r="BK17" s="11" t="s">
        <v>981</v>
      </c>
      <c r="BL17" s="20">
        <v>11</v>
      </c>
    </row>
    <row r="18" spans="1:15" ht="12.75">
      <c r="A18" s="86"/>
      <c r="B18" s="87"/>
      <c r="C18" s="87"/>
      <c r="D18" s="63" t="s">
        <v>358</v>
      </c>
      <c r="E18" s="63" t="s">
        <v>762</v>
      </c>
      <c r="F18" s="87"/>
      <c r="G18" s="88">
        <v>25.77</v>
      </c>
      <c r="H18" s="87"/>
      <c r="I18" s="87"/>
      <c r="J18" s="87"/>
      <c r="K18" s="87"/>
      <c r="L18" s="87"/>
      <c r="M18" s="87"/>
      <c r="N18" s="89"/>
      <c r="O18" s="1"/>
    </row>
    <row r="19" spans="1:15" ht="12.75">
      <c r="A19" s="86"/>
      <c r="B19" s="87"/>
      <c r="C19" s="87"/>
      <c r="D19" s="63" t="s">
        <v>359</v>
      </c>
      <c r="E19" s="63" t="s">
        <v>763</v>
      </c>
      <c r="F19" s="87"/>
      <c r="G19" s="88">
        <v>28.585</v>
      </c>
      <c r="H19" s="87"/>
      <c r="I19" s="87"/>
      <c r="J19" s="87"/>
      <c r="K19" s="87"/>
      <c r="L19" s="87"/>
      <c r="M19" s="87"/>
      <c r="N19" s="89"/>
      <c r="O19" s="1"/>
    </row>
    <row r="20" spans="1:15" ht="12.75">
      <c r="A20" s="86"/>
      <c r="B20" s="87"/>
      <c r="C20" s="87"/>
      <c r="D20" s="63" t="s">
        <v>360</v>
      </c>
      <c r="E20" s="63" t="s">
        <v>765</v>
      </c>
      <c r="F20" s="87"/>
      <c r="G20" s="88">
        <v>23.69625</v>
      </c>
      <c r="H20" s="87"/>
      <c r="I20" s="87"/>
      <c r="J20" s="87"/>
      <c r="K20" s="87"/>
      <c r="L20" s="87"/>
      <c r="M20" s="87"/>
      <c r="N20" s="89"/>
      <c r="O20" s="1"/>
    </row>
    <row r="21" spans="1:64" ht="12.75">
      <c r="A21" s="83" t="s">
        <v>9</v>
      </c>
      <c r="B21" s="64"/>
      <c r="C21" s="64" t="s">
        <v>171</v>
      </c>
      <c r="D21" s="159" t="s">
        <v>361</v>
      </c>
      <c r="E21" s="150"/>
      <c r="F21" s="64" t="s">
        <v>882</v>
      </c>
      <c r="G21" s="84">
        <v>7.56</v>
      </c>
      <c r="H21" s="101"/>
      <c r="I21" s="84">
        <f>G21*AO21</f>
        <v>0</v>
      </c>
      <c r="J21" s="84">
        <f>G21*AP21</f>
        <v>0</v>
      </c>
      <c r="K21" s="84">
        <f>G21*H21</f>
        <v>0</v>
      </c>
      <c r="L21" s="84">
        <v>1.3</v>
      </c>
      <c r="M21" s="84">
        <f>G21*L21</f>
        <v>9.828</v>
      </c>
      <c r="N21" s="85" t="s">
        <v>912</v>
      </c>
      <c r="O21" s="1"/>
      <c r="Z21" s="20">
        <f>IF(AQ21="5",BJ21,0)</f>
        <v>0</v>
      </c>
      <c r="AB21" s="20">
        <f>IF(AQ21="1",BH21,0)</f>
        <v>0</v>
      </c>
      <c r="AC21" s="20">
        <f>IF(AQ21="1",BI21,0)</f>
        <v>0</v>
      </c>
      <c r="AD21" s="20">
        <f>IF(AQ21="7",BH21,0)</f>
        <v>0</v>
      </c>
      <c r="AE21" s="20">
        <f>IF(AQ21="7",BI21,0)</f>
        <v>0</v>
      </c>
      <c r="AF21" s="20">
        <f>IF(AQ21="2",BH21,0)</f>
        <v>0</v>
      </c>
      <c r="AG21" s="20">
        <f>IF(AQ21="2",BI21,0)</f>
        <v>0</v>
      </c>
      <c r="AH21" s="20">
        <f>IF(AQ21="0",BJ21,0)</f>
        <v>0</v>
      </c>
      <c r="AI21" s="14"/>
      <c r="AJ21" s="11">
        <f>IF(AN21=0,K21,0)</f>
        <v>0</v>
      </c>
      <c r="AK21" s="11">
        <f>IF(AN21=15,K21,0)</f>
        <v>0</v>
      </c>
      <c r="AL21" s="11">
        <f>IF(AN21=21,K21,0)</f>
        <v>0</v>
      </c>
      <c r="AN21" s="20">
        <v>21</v>
      </c>
      <c r="AO21" s="20">
        <f>H21*0</f>
        <v>0</v>
      </c>
      <c r="AP21" s="20">
        <f>H21*(1-0)</f>
        <v>0</v>
      </c>
      <c r="AQ21" s="21" t="s">
        <v>7</v>
      </c>
      <c r="AV21" s="20">
        <f>AW21+AX21</f>
        <v>0</v>
      </c>
      <c r="AW21" s="20">
        <f>G21*AO21</f>
        <v>0</v>
      </c>
      <c r="AX21" s="20">
        <f>G21*AP21</f>
        <v>0</v>
      </c>
      <c r="AY21" s="23" t="s">
        <v>923</v>
      </c>
      <c r="AZ21" s="23" t="s">
        <v>963</v>
      </c>
      <c r="BA21" s="14" t="s">
        <v>976</v>
      </c>
      <c r="BC21" s="20">
        <f>AW21+AX21</f>
        <v>0</v>
      </c>
      <c r="BD21" s="20">
        <f>H21/(100-BE21)*100</f>
        <v>0</v>
      </c>
      <c r="BE21" s="20">
        <v>0</v>
      </c>
      <c r="BF21" s="20">
        <f>M21</f>
        <v>9.828</v>
      </c>
      <c r="BH21" s="11">
        <f>G21*AO21</f>
        <v>0</v>
      </c>
      <c r="BI21" s="11">
        <f>G21*AP21</f>
        <v>0</v>
      </c>
      <c r="BJ21" s="11">
        <f>G21*H21</f>
        <v>0</v>
      </c>
      <c r="BK21" s="11" t="s">
        <v>981</v>
      </c>
      <c r="BL21" s="20">
        <v>11</v>
      </c>
    </row>
    <row r="22" spans="1:15" ht="12.75">
      <c r="A22" s="86"/>
      <c r="B22" s="87"/>
      <c r="C22" s="87"/>
      <c r="D22" s="63" t="s">
        <v>362</v>
      </c>
      <c r="E22" s="63" t="s">
        <v>762</v>
      </c>
      <c r="F22" s="87"/>
      <c r="G22" s="88">
        <v>2.28</v>
      </c>
      <c r="H22" s="87"/>
      <c r="I22" s="87"/>
      <c r="J22" s="87"/>
      <c r="K22" s="87"/>
      <c r="L22" s="87"/>
      <c r="M22" s="87"/>
      <c r="N22" s="89"/>
      <c r="O22" s="1"/>
    </row>
    <row r="23" spans="1:15" ht="12.75">
      <c r="A23" s="86"/>
      <c r="B23" s="87"/>
      <c r="C23" s="87"/>
      <c r="D23" s="63" t="s">
        <v>363</v>
      </c>
      <c r="E23" s="63" t="s">
        <v>763</v>
      </c>
      <c r="F23" s="87"/>
      <c r="G23" s="88">
        <v>2.16605</v>
      </c>
      <c r="H23" s="87"/>
      <c r="I23" s="87"/>
      <c r="J23" s="87"/>
      <c r="K23" s="87"/>
      <c r="L23" s="87"/>
      <c r="M23" s="87"/>
      <c r="N23" s="89"/>
      <c r="O23" s="1"/>
    </row>
    <row r="24" spans="1:64" ht="12.75">
      <c r="A24" s="83" t="s">
        <v>10</v>
      </c>
      <c r="B24" s="64"/>
      <c r="C24" s="64" t="s">
        <v>172</v>
      </c>
      <c r="D24" s="159" t="s">
        <v>364</v>
      </c>
      <c r="E24" s="150"/>
      <c r="F24" s="64" t="s">
        <v>883</v>
      </c>
      <c r="G24" s="84">
        <v>12.18</v>
      </c>
      <c r="H24" s="102"/>
      <c r="I24" s="84">
        <f>G24*AO24</f>
        <v>0</v>
      </c>
      <c r="J24" s="84">
        <f>G24*AP24</f>
        <v>0</v>
      </c>
      <c r="K24" s="84">
        <f>G24*H24</f>
        <v>0</v>
      </c>
      <c r="L24" s="84">
        <v>0.22</v>
      </c>
      <c r="M24" s="84">
        <f>G24*L24</f>
        <v>2.6795999999999998</v>
      </c>
      <c r="N24" s="85" t="s">
        <v>912</v>
      </c>
      <c r="O24" s="1"/>
      <c r="Z24" s="20">
        <f>IF(AQ24="5",BJ24,0)</f>
        <v>0</v>
      </c>
      <c r="AB24" s="20">
        <f>IF(AQ24="1",BH24,0)</f>
        <v>0</v>
      </c>
      <c r="AC24" s="20">
        <f>IF(AQ24="1",BI24,0)</f>
        <v>0</v>
      </c>
      <c r="AD24" s="20">
        <f>IF(AQ24="7",BH24,0)</f>
        <v>0</v>
      </c>
      <c r="AE24" s="20">
        <f>IF(AQ24="7",BI24,0)</f>
        <v>0</v>
      </c>
      <c r="AF24" s="20">
        <f>IF(AQ24="2",BH24,0)</f>
        <v>0</v>
      </c>
      <c r="AG24" s="20">
        <f>IF(AQ24="2",BI24,0)</f>
        <v>0</v>
      </c>
      <c r="AH24" s="20">
        <f>IF(AQ24="0",BJ24,0)</f>
        <v>0</v>
      </c>
      <c r="AI24" s="14"/>
      <c r="AJ24" s="11">
        <f>IF(AN24=0,K24,0)</f>
        <v>0</v>
      </c>
      <c r="AK24" s="11">
        <f>IF(AN24=15,K24,0)</f>
        <v>0</v>
      </c>
      <c r="AL24" s="11">
        <f>IF(AN24=21,K24,0)</f>
        <v>0</v>
      </c>
      <c r="AN24" s="20">
        <v>21</v>
      </c>
      <c r="AO24" s="20">
        <f>H24*0</f>
        <v>0</v>
      </c>
      <c r="AP24" s="20">
        <f>H24*(1-0)</f>
        <v>0</v>
      </c>
      <c r="AQ24" s="21" t="s">
        <v>7</v>
      </c>
      <c r="AV24" s="20">
        <f>AW24+AX24</f>
        <v>0</v>
      </c>
      <c r="AW24" s="20">
        <f>G24*AO24</f>
        <v>0</v>
      </c>
      <c r="AX24" s="20">
        <f>G24*AP24</f>
        <v>0</v>
      </c>
      <c r="AY24" s="23" t="s">
        <v>923</v>
      </c>
      <c r="AZ24" s="23" t="s">
        <v>963</v>
      </c>
      <c r="BA24" s="14" t="s">
        <v>976</v>
      </c>
      <c r="BC24" s="20">
        <f>AW24+AX24</f>
        <v>0</v>
      </c>
      <c r="BD24" s="20">
        <f>H24/(100-BE24)*100</f>
        <v>0</v>
      </c>
      <c r="BE24" s="20">
        <v>0</v>
      </c>
      <c r="BF24" s="20">
        <f>M24</f>
        <v>2.6795999999999998</v>
      </c>
      <c r="BH24" s="11">
        <f>G24*AO24</f>
        <v>0</v>
      </c>
      <c r="BI24" s="11">
        <f>G24*AP24</f>
        <v>0</v>
      </c>
      <c r="BJ24" s="11">
        <f>G24*H24</f>
        <v>0</v>
      </c>
      <c r="BK24" s="11" t="s">
        <v>981</v>
      </c>
      <c r="BL24" s="20">
        <v>11</v>
      </c>
    </row>
    <row r="25" spans="1:15" ht="12.75">
      <c r="A25" s="86"/>
      <c r="B25" s="87"/>
      <c r="C25" s="87"/>
      <c r="D25" s="63" t="s">
        <v>365</v>
      </c>
      <c r="E25" s="63"/>
      <c r="F25" s="87"/>
      <c r="G25" s="88">
        <v>12.18</v>
      </c>
      <c r="H25" s="87"/>
      <c r="I25" s="87"/>
      <c r="J25" s="87"/>
      <c r="K25" s="87"/>
      <c r="L25" s="87"/>
      <c r="M25" s="87"/>
      <c r="N25" s="89"/>
      <c r="O25" s="1"/>
    </row>
    <row r="26" spans="1:47" ht="12.75">
      <c r="A26" s="90"/>
      <c r="B26" s="91"/>
      <c r="C26" s="91" t="s">
        <v>19</v>
      </c>
      <c r="D26" s="172" t="s">
        <v>366</v>
      </c>
      <c r="E26" s="173"/>
      <c r="F26" s="92" t="s">
        <v>6</v>
      </c>
      <c r="G26" s="92" t="s">
        <v>6</v>
      </c>
      <c r="H26" s="92"/>
      <c r="I26" s="93">
        <f>SUM(I27:I32)</f>
        <v>0</v>
      </c>
      <c r="J26" s="93">
        <f>SUM(J27:J32)</f>
        <v>0</v>
      </c>
      <c r="K26" s="93">
        <f>SUM(K27:K32)</f>
        <v>0</v>
      </c>
      <c r="L26" s="94"/>
      <c r="M26" s="93">
        <f>SUM(M27:M32)</f>
        <v>0</v>
      </c>
      <c r="N26" s="95"/>
      <c r="O26" s="1"/>
      <c r="AI26" s="14"/>
      <c r="AS26" s="25">
        <f>SUM(AJ27:AJ32)</f>
        <v>0</v>
      </c>
      <c r="AT26" s="25">
        <f>SUM(AK27:AK32)</f>
        <v>0</v>
      </c>
      <c r="AU26" s="25">
        <f>SUM(AL27:AL32)</f>
        <v>0</v>
      </c>
    </row>
    <row r="27" spans="1:64" ht="12.75">
      <c r="A27" s="83" t="s">
        <v>11</v>
      </c>
      <c r="B27" s="64"/>
      <c r="C27" s="64" t="s">
        <v>173</v>
      </c>
      <c r="D27" s="159" t="s">
        <v>367</v>
      </c>
      <c r="E27" s="150"/>
      <c r="F27" s="64" t="s">
        <v>882</v>
      </c>
      <c r="G27" s="84">
        <v>53.44</v>
      </c>
      <c r="H27" s="101"/>
      <c r="I27" s="84">
        <f>G27*AO27</f>
        <v>0</v>
      </c>
      <c r="J27" s="84">
        <f>G27*AP27</f>
        <v>0</v>
      </c>
      <c r="K27" s="84">
        <f>G27*H27</f>
        <v>0</v>
      </c>
      <c r="L27" s="84">
        <v>0</v>
      </c>
      <c r="M27" s="84">
        <f>G27*L27</f>
        <v>0</v>
      </c>
      <c r="N27" s="85" t="s">
        <v>912</v>
      </c>
      <c r="O27" s="1"/>
      <c r="Z27" s="20">
        <f>IF(AQ27="5",BJ27,0)</f>
        <v>0</v>
      </c>
      <c r="AB27" s="20">
        <f>IF(AQ27="1",BH27,0)</f>
        <v>0</v>
      </c>
      <c r="AC27" s="20">
        <f>IF(AQ27="1",BI27,0)</f>
        <v>0</v>
      </c>
      <c r="AD27" s="20">
        <f>IF(AQ27="7",BH27,0)</f>
        <v>0</v>
      </c>
      <c r="AE27" s="20">
        <f>IF(AQ27="7",BI27,0)</f>
        <v>0</v>
      </c>
      <c r="AF27" s="20">
        <f>IF(AQ27="2",BH27,0)</f>
        <v>0</v>
      </c>
      <c r="AG27" s="20">
        <f>IF(AQ27="2",BI27,0)</f>
        <v>0</v>
      </c>
      <c r="AH27" s="20">
        <f>IF(AQ27="0",BJ27,0)</f>
        <v>0</v>
      </c>
      <c r="AI27" s="14"/>
      <c r="AJ27" s="11">
        <f>IF(AN27=0,K27,0)</f>
        <v>0</v>
      </c>
      <c r="AK27" s="11">
        <f>IF(AN27=15,K27,0)</f>
        <v>0</v>
      </c>
      <c r="AL27" s="11">
        <f>IF(AN27=21,K27,0)</f>
        <v>0</v>
      </c>
      <c r="AN27" s="20">
        <v>21</v>
      </c>
      <c r="AO27" s="20">
        <f>H27*0</f>
        <v>0</v>
      </c>
      <c r="AP27" s="20">
        <f>H27*(1-0)</f>
        <v>0</v>
      </c>
      <c r="AQ27" s="21" t="s">
        <v>7</v>
      </c>
      <c r="AV27" s="20">
        <f>AW27+AX27</f>
        <v>0</v>
      </c>
      <c r="AW27" s="20">
        <f>G27*AO27</f>
        <v>0</v>
      </c>
      <c r="AX27" s="20">
        <f>G27*AP27</f>
        <v>0</v>
      </c>
      <c r="AY27" s="23" t="s">
        <v>924</v>
      </c>
      <c r="AZ27" s="23" t="s">
        <v>963</v>
      </c>
      <c r="BA27" s="14" t="s">
        <v>976</v>
      </c>
      <c r="BC27" s="20">
        <f>AW27+AX27</f>
        <v>0</v>
      </c>
      <c r="BD27" s="20">
        <f>H27/(100-BE27)*100</f>
        <v>0</v>
      </c>
      <c r="BE27" s="20">
        <v>0</v>
      </c>
      <c r="BF27" s="20">
        <f>M27</f>
        <v>0</v>
      </c>
      <c r="BH27" s="11">
        <f>G27*AO27</f>
        <v>0</v>
      </c>
      <c r="BI27" s="11">
        <f>G27*AP27</f>
        <v>0</v>
      </c>
      <c r="BJ27" s="11">
        <f>G27*H27</f>
        <v>0</v>
      </c>
      <c r="BK27" s="11" t="s">
        <v>981</v>
      </c>
      <c r="BL27" s="20">
        <v>13</v>
      </c>
    </row>
    <row r="28" spans="1:15" ht="12.75">
      <c r="A28" s="86"/>
      <c r="B28" s="87"/>
      <c r="C28" s="87"/>
      <c r="D28" s="63" t="s">
        <v>1034</v>
      </c>
      <c r="E28" s="63" t="s">
        <v>766</v>
      </c>
      <c r="F28" s="87"/>
      <c r="G28" s="88">
        <v>3.58</v>
      </c>
      <c r="H28" s="87"/>
      <c r="I28" s="87"/>
      <c r="J28" s="87"/>
      <c r="K28" s="87"/>
      <c r="L28" s="87"/>
      <c r="M28" s="87"/>
      <c r="N28" s="89"/>
      <c r="O28" s="1"/>
    </row>
    <row r="29" spans="1:15" ht="12.75">
      <c r="A29" s="86"/>
      <c r="B29" s="87"/>
      <c r="C29" s="87"/>
      <c r="D29" s="63" t="s">
        <v>368</v>
      </c>
      <c r="E29" s="63" t="s">
        <v>767</v>
      </c>
      <c r="F29" s="87"/>
      <c r="G29" s="88">
        <v>32.2</v>
      </c>
      <c r="H29" s="87"/>
      <c r="I29" s="87"/>
      <c r="J29" s="87"/>
      <c r="K29" s="87"/>
      <c r="L29" s="87"/>
      <c r="M29" s="87"/>
      <c r="N29" s="89"/>
      <c r="O29" s="1"/>
    </row>
    <row r="30" spans="1:15" ht="12.75">
      <c r="A30" s="86"/>
      <c r="B30" s="87"/>
      <c r="C30" s="87"/>
      <c r="D30" s="63" t="s">
        <v>369</v>
      </c>
      <c r="E30" s="63" t="s">
        <v>768</v>
      </c>
      <c r="F30" s="87"/>
      <c r="G30" s="88">
        <v>4.76</v>
      </c>
      <c r="H30" s="87"/>
      <c r="I30" s="87"/>
      <c r="J30" s="87"/>
      <c r="K30" s="87"/>
      <c r="L30" s="87"/>
      <c r="M30" s="87"/>
      <c r="N30" s="89"/>
      <c r="O30" s="1"/>
    </row>
    <row r="31" spans="1:15" ht="12.75">
      <c r="A31" s="86"/>
      <c r="B31" s="87"/>
      <c r="C31" s="87"/>
      <c r="D31" s="63" t="s">
        <v>370</v>
      </c>
      <c r="E31" s="63" t="s">
        <v>769</v>
      </c>
      <c r="F31" s="87"/>
      <c r="G31" s="88">
        <v>6.78</v>
      </c>
      <c r="H31" s="87"/>
      <c r="I31" s="87"/>
      <c r="J31" s="87"/>
      <c r="K31" s="87"/>
      <c r="L31" s="87"/>
      <c r="M31" s="87"/>
      <c r="N31" s="89"/>
      <c r="O31" s="1"/>
    </row>
    <row r="32" spans="1:15" ht="12.75">
      <c r="A32" s="86"/>
      <c r="B32" s="87"/>
      <c r="C32" s="87"/>
      <c r="D32" s="63" t="s">
        <v>371</v>
      </c>
      <c r="E32" s="63" t="s">
        <v>770</v>
      </c>
      <c r="F32" s="87"/>
      <c r="G32" s="88">
        <v>6.14</v>
      </c>
      <c r="H32" s="87"/>
      <c r="I32" s="87"/>
      <c r="J32" s="87"/>
      <c r="K32" s="87"/>
      <c r="L32" s="87"/>
      <c r="M32" s="87"/>
      <c r="N32" s="89"/>
      <c r="O32" s="1"/>
    </row>
    <row r="33" spans="1:47" ht="12.75">
      <c r="A33" s="2"/>
      <c r="B33" s="6"/>
      <c r="C33" s="6" t="s">
        <v>22</v>
      </c>
      <c r="D33" s="172" t="s">
        <v>372</v>
      </c>
      <c r="E33" s="173"/>
      <c r="F33" s="10" t="s">
        <v>6</v>
      </c>
      <c r="G33" s="10" t="s">
        <v>6</v>
      </c>
      <c r="H33" s="10"/>
      <c r="I33" s="25">
        <f>SUM(I34:I47)</f>
        <v>0</v>
      </c>
      <c r="J33" s="25">
        <f>SUM(J34:J47)</f>
        <v>0</v>
      </c>
      <c r="K33" s="25">
        <f>SUM(K34:K47)</f>
        <v>0</v>
      </c>
      <c r="L33" s="14"/>
      <c r="M33" s="25">
        <f>SUM(M34:M47)</f>
        <v>0</v>
      </c>
      <c r="N33" s="17"/>
      <c r="O33" s="1"/>
      <c r="AI33" s="14"/>
      <c r="AS33" s="25">
        <f>SUM(AJ34:AJ47)</f>
        <v>0</v>
      </c>
      <c r="AT33" s="25">
        <f>SUM(AK34:AK47)</f>
        <v>0</v>
      </c>
      <c r="AU33" s="25">
        <f>SUM(AL34:AL47)</f>
        <v>0</v>
      </c>
    </row>
    <row r="34" spans="1:64" ht="12.75">
      <c r="A34" s="60" t="s">
        <v>12</v>
      </c>
      <c r="B34" s="5"/>
      <c r="C34" s="5" t="s">
        <v>174</v>
      </c>
      <c r="D34" s="159" t="s">
        <v>373</v>
      </c>
      <c r="E34" s="150"/>
      <c r="F34" s="5" t="s">
        <v>882</v>
      </c>
      <c r="G34" s="11">
        <v>53.44</v>
      </c>
      <c r="H34" s="103"/>
      <c r="I34" s="11">
        <f>G34*AO34</f>
        <v>0</v>
      </c>
      <c r="J34" s="11">
        <f>G34*AP34</f>
        <v>0</v>
      </c>
      <c r="K34" s="11">
        <f>G34*H34</f>
        <v>0</v>
      </c>
      <c r="L34" s="11">
        <v>0</v>
      </c>
      <c r="M34" s="11">
        <f>G34*L34</f>
        <v>0</v>
      </c>
      <c r="N34" s="15" t="s">
        <v>912</v>
      </c>
      <c r="O34" s="1"/>
      <c r="Z34" s="20">
        <f>IF(AQ34="5",BJ34,0)</f>
        <v>0</v>
      </c>
      <c r="AB34" s="20">
        <f>IF(AQ34="1",BH34,0)</f>
        <v>0</v>
      </c>
      <c r="AC34" s="20">
        <f>IF(AQ34="1",BI34,0)</f>
        <v>0</v>
      </c>
      <c r="AD34" s="20">
        <f>IF(AQ34="7",BH34,0)</f>
        <v>0</v>
      </c>
      <c r="AE34" s="20">
        <f>IF(AQ34="7",BI34,0)</f>
        <v>0</v>
      </c>
      <c r="AF34" s="20">
        <f>IF(AQ34="2",BH34,0)</f>
        <v>0</v>
      </c>
      <c r="AG34" s="20">
        <f>IF(AQ34="2",BI34,0)</f>
        <v>0</v>
      </c>
      <c r="AH34" s="20">
        <f>IF(AQ34="0",BJ34,0)</f>
        <v>0</v>
      </c>
      <c r="AI34" s="14"/>
      <c r="AJ34" s="11">
        <f>IF(AN34=0,K34,0)</f>
        <v>0</v>
      </c>
      <c r="AK34" s="11">
        <f>IF(AN34=15,K34,0)</f>
        <v>0</v>
      </c>
      <c r="AL34" s="11">
        <f>IF(AN34=21,K34,0)</f>
        <v>0</v>
      </c>
      <c r="AN34" s="20">
        <v>21</v>
      </c>
      <c r="AO34" s="20">
        <f>H34*0</f>
        <v>0</v>
      </c>
      <c r="AP34" s="20">
        <f>H34*(1-0)</f>
        <v>0</v>
      </c>
      <c r="AQ34" s="21" t="s">
        <v>7</v>
      </c>
      <c r="AV34" s="20">
        <f>AW34+AX34</f>
        <v>0</v>
      </c>
      <c r="AW34" s="20">
        <f>G34*AO34</f>
        <v>0</v>
      </c>
      <c r="AX34" s="20">
        <f>G34*AP34</f>
        <v>0</v>
      </c>
      <c r="AY34" s="23" t="s">
        <v>925</v>
      </c>
      <c r="AZ34" s="23" t="s">
        <v>963</v>
      </c>
      <c r="BA34" s="14" t="s">
        <v>976</v>
      </c>
      <c r="BC34" s="20">
        <f>AW34+AX34</f>
        <v>0</v>
      </c>
      <c r="BD34" s="20">
        <f>H34/(100-BE34)*100</f>
        <v>0</v>
      </c>
      <c r="BE34" s="20">
        <v>0</v>
      </c>
      <c r="BF34" s="20">
        <f>M34</f>
        <v>0</v>
      </c>
      <c r="BH34" s="11">
        <f>G34*AO34</f>
        <v>0</v>
      </c>
      <c r="BI34" s="11">
        <f>G34*AP34</f>
        <v>0</v>
      </c>
      <c r="BJ34" s="11">
        <f>G34*H34</f>
        <v>0</v>
      </c>
      <c r="BK34" s="11" t="s">
        <v>981</v>
      </c>
      <c r="BL34" s="20">
        <v>16</v>
      </c>
    </row>
    <row r="35" spans="1:15" ht="12.75">
      <c r="A35" s="1"/>
      <c r="D35" s="63" t="s">
        <v>1046</v>
      </c>
      <c r="E35" s="63" t="s">
        <v>771</v>
      </c>
      <c r="G35" s="12">
        <v>26.72</v>
      </c>
      <c r="N35" s="16"/>
      <c r="O35" s="1"/>
    </row>
    <row r="36" spans="1:64" ht="12.75">
      <c r="A36" s="60" t="s">
        <v>13</v>
      </c>
      <c r="B36" s="5"/>
      <c r="C36" s="5" t="s">
        <v>175</v>
      </c>
      <c r="D36" s="159" t="s">
        <v>374</v>
      </c>
      <c r="E36" s="150"/>
      <c r="F36" s="5" t="s">
        <v>882</v>
      </c>
      <c r="G36" s="11">
        <v>53.44</v>
      </c>
      <c r="H36" s="103"/>
      <c r="I36" s="11">
        <f>G36*AO36</f>
        <v>0</v>
      </c>
      <c r="J36" s="11">
        <f>G36*AP36</f>
        <v>0</v>
      </c>
      <c r="K36" s="11">
        <f>G36*H36</f>
        <v>0</v>
      </c>
      <c r="L36" s="11">
        <v>0</v>
      </c>
      <c r="M36" s="11">
        <f>G36*L36</f>
        <v>0</v>
      </c>
      <c r="N36" s="15" t="s">
        <v>912</v>
      </c>
      <c r="O36" s="1"/>
      <c r="Z36" s="20">
        <f>IF(AQ36="5",BJ36,0)</f>
        <v>0</v>
      </c>
      <c r="AB36" s="20">
        <f>IF(AQ36="1",BH36,0)</f>
        <v>0</v>
      </c>
      <c r="AC36" s="20">
        <f>IF(AQ36="1",BI36,0)</f>
        <v>0</v>
      </c>
      <c r="AD36" s="20">
        <f>IF(AQ36="7",BH36,0)</f>
        <v>0</v>
      </c>
      <c r="AE36" s="20">
        <f>IF(AQ36="7",BI36,0)</f>
        <v>0</v>
      </c>
      <c r="AF36" s="20">
        <f>IF(AQ36="2",BH36,0)</f>
        <v>0</v>
      </c>
      <c r="AG36" s="20">
        <f>IF(AQ36="2",BI36,0)</f>
        <v>0</v>
      </c>
      <c r="AH36" s="20">
        <f>IF(AQ36="0",BJ36,0)</f>
        <v>0</v>
      </c>
      <c r="AI36" s="14"/>
      <c r="AJ36" s="11">
        <f>IF(AN36=0,K36,0)</f>
        <v>0</v>
      </c>
      <c r="AK36" s="11">
        <f>IF(AN36=15,K36,0)</f>
        <v>0</v>
      </c>
      <c r="AL36" s="11">
        <f>IF(AN36=21,K36,0)</f>
        <v>0</v>
      </c>
      <c r="AN36" s="20">
        <v>21</v>
      </c>
      <c r="AO36" s="20">
        <f>H36*0</f>
        <v>0</v>
      </c>
      <c r="AP36" s="20">
        <f>H36*(1-0)</f>
        <v>0</v>
      </c>
      <c r="AQ36" s="21" t="s">
        <v>7</v>
      </c>
      <c r="AV36" s="20">
        <f>AW36+AX36</f>
        <v>0</v>
      </c>
      <c r="AW36" s="20">
        <f>G36*AO36</f>
        <v>0</v>
      </c>
      <c r="AX36" s="20">
        <f>G36*AP36</f>
        <v>0</v>
      </c>
      <c r="AY36" s="23" t="s">
        <v>925</v>
      </c>
      <c r="AZ36" s="23" t="s">
        <v>963</v>
      </c>
      <c r="BA36" s="14" t="s">
        <v>976</v>
      </c>
      <c r="BC36" s="20">
        <f>AW36+AX36</f>
        <v>0</v>
      </c>
      <c r="BD36" s="20">
        <f>H36/(100-BE36)*100</f>
        <v>0</v>
      </c>
      <c r="BE36" s="20">
        <v>0</v>
      </c>
      <c r="BF36" s="20">
        <f>M36</f>
        <v>0</v>
      </c>
      <c r="BH36" s="11">
        <f>G36*AO36</f>
        <v>0</v>
      </c>
      <c r="BI36" s="11">
        <f>G36*AP36</f>
        <v>0</v>
      </c>
      <c r="BJ36" s="11">
        <f>G36*H36</f>
        <v>0</v>
      </c>
      <c r="BK36" s="11" t="s">
        <v>981</v>
      </c>
      <c r="BL36" s="20">
        <v>16</v>
      </c>
    </row>
    <row r="37" spans="1:15" ht="12.75">
      <c r="A37" s="1"/>
      <c r="D37" s="63" t="s">
        <v>1035</v>
      </c>
      <c r="E37" s="63" t="s">
        <v>771</v>
      </c>
      <c r="G37" s="12">
        <v>26.72</v>
      </c>
      <c r="N37" s="16"/>
      <c r="O37" s="1"/>
    </row>
    <row r="38" spans="1:15" ht="12.75">
      <c r="A38" s="1"/>
      <c r="D38" s="63" t="s">
        <v>1035</v>
      </c>
      <c r="E38" s="63" t="s">
        <v>772</v>
      </c>
      <c r="G38" s="12">
        <v>26.72</v>
      </c>
      <c r="N38" s="16"/>
      <c r="O38" s="1"/>
    </row>
    <row r="39" spans="1:64" ht="12.75">
      <c r="A39" s="60" t="s">
        <v>14</v>
      </c>
      <c r="B39" s="5"/>
      <c r="C39" s="5" t="s">
        <v>176</v>
      </c>
      <c r="D39" s="159" t="s">
        <v>376</v>
      </c>
      <c r="E39" s="150"/>
      <c r="F39" s="5" t="s">
        <v>882</v>
      </c>
      <c r="G39" s="11">
        <v>37.19</v>
      </c>
      <c r="H39" s="103"/>
      <c r="I39" s="11">
        <f>G39*AO39</f>
        <v>0</v>
      </c>
      <c r="J39" s="11">
        <f>G39*AP39</f>
        <v>0</v>
      </c>
      <c r="K39" s="11">
        <f>G39*H39</f>
        <v>0</v>
      </c>
      <c r="L39" s="11">
        <v>0</v>
      </c>
      <c r="M39" s="11">
        <f>G39*L39</f>
        <v>0</v>
      </c>
      <c r="N39" s="15" t="s">
        <v>912</v>
      </c>
      <c r="O39" s="1"/>
      <c r="Z39" s="20">
        <f>IF(AQ39="5",BJ39,0)</f>
        <v>0</v>
      </c>
      <c r="AB39" s="20">
        <f>IF(AQ39="1",BH39,0)</f>
        <v>0</v>
      </c>
      <c r="AC39" s="20">
        <f>IF(AQ39="1",BI39,0)</f>
        <v>0</v>
      </c>
      <c r="AD39" s="20">
        <f>IF(AQ39="7",BH39,0)</f>
        <v>0</v>
      </c>
      <c r="AE39" s="20">
        <f>IF(AQ39="7",BI39,0)</f>
        <v>0</v>
      </c>
      <c r="AF39" s="20">
        <f>IF(AQ39="2",BH39,0)</f>
        <v>0</v>
      </c>
      <c r="AG39" s="20">
        <f>IF(AQ39="2",BI39,0)</f>
        <v>0</v>
      </c>
      <c r="AH39" s="20">
        <f>IF(AQ39="0",BJ39,0)</f>
        <v>0</v>
      </c>
      <c r="AI39" s="14"/>
      <c r="AJ39" s="11">
        <f>IF(AN39=0,K39,0)</f>
        <v>0</v>
      </c>
      <c r="AK39" s="11">
        <f>IF(AN39=15,K39,0)</f>
        <v>0</v>
      </c>
      <c r="AL39" s="11">
        <f>IF(AN39=21,K39,0)</f>
        <v>0</v>
      </c>
      <c r="AN39" s="20">
        <v>21</v>
      </c>
      <c r="AO39" s="20">
        <f>H39*0</f>
        <v>0</v>
      </c>
      <c r="AP39" s="20">
        <f>H39*(1-0)</f>
        <v>0</v>
      </c>
      <c r="AQ39" s="21" t="s">
        <v>7</v>
      </c>
      <c r="AV39" s="20">
        <f>AW39+AX39</f>
        <v>0</v>
      </c>
      <c r="AW39" s="20">
        <f>G39*AO39</f>
        <v>0</v>
      </c>
      <c r="AX39" s="20">
        <f>G39*AP39</f>
        <v>0</v>
      </c>
      <c r="AY39" s="23" t="s">
        <v>925</v>
      </c>
      <c r="AZ39" s="23" t="s">
        <v>963</v>
      </c>
      <c r="BA39" s="14" t="s">
        <v>976</v>
      </c>
      <c r="BC39" s="20">
        <f>AW39+AX39</f>
        <v>0</v>
      </c>
      <c r="BD39" s="20">
        <f>H39/(100-BE39)*100</f>
        <v>0</v>
      </c>
      <c r="BE39" s="20">
        <v>0</v>
      </c>
      <c r="BF39" s="20">
        <f>M39</f>
        <v>0</v>
      </c>
      <c r="BH39" s="11">
        <f>G39*AO39</f>
        <v>0</v>
      </c>
      <c r="BI39" s="11">
        <f>G39*AP39</f>
        <v>0</v>
      </c>
      <c r="BJ39" s="11">
        <f>G39*H39</f>
        <v>0</v>
      </c>
      <c r="BK39" s="11" t="s">
        <v>981</v>
      </c>
      <c r="BL39" s="20">
        <v>16</v>
      </c>
    </row>
    <row r="40" spans="1:15" ht="12.75">
      <c r="A40" s="1"/>
      <c r="D40" s="63" t="s">
        <v>1036</v>
      </c>
      <c r="E40" s="63" t="s">
        <v>773</v>
      </c>
      <c r="G40" s="12">
        <v>3.58</v>
      </c>
      <c r="N40" s="16"/>
      <c r="O40" s="1"/>
    </row>
    <row r="41" spans="1:15" ht="12.75">
      <c r="A41" s="1"/>
      <c r="D41" s="63" t="s">
        <v>377</v>
      </c>
      <c r="E41" s="63" t="s">
        <v>774</v>
      </c>
      <c r="G41" s="12">
        <v>32.19614</v>
      </c>
      <c r="N41" s="16"/>
      <c r="O41" s="1"/>
    </row>
    <row r="42" spans="1:15" ht="12.75">
      <c r="A42" s="1"/>
      <c r="D42" s="63" t="s">
        <v>378</v>
      </c>
      <c r="E42" s="63" t="s">
        <v>768</v>
      </c>
      <c r="G42" s="12">
        <v>0.38003</v>
      </c>
      <c r="N42" s="16"/>
      <c r="O42" s="1"/>
    </row>
    <row r="43" spans="1:15" ht="12.75">
      <c r="A43" s="1"/>
      <c r="D43" s="63" t="s">
        <v>379</v>
      </c>
      <c r="E43" s="63" t="s">
        <v>769</v>
      </c>
      <c r="G43" s="12">
        <v>0.54173</v>
      </c>
      <c r="N43" s="16"/>
      <c r="O43" s="1"/>
    </row>
    <row r="44" spans="1:15" ht="12.75">
      <c r="A44" s="1"/>
      <c r="D44" s="63" t="s">
        <v>380</v>
      </c>
      <c r="E44" s="63" t="s">
        <v>770</v>
      </c>
      <c r="G44" s="12">
        <v>0.49161</v>
      </c>
      <c r="N44" s="16"/>
      <c r="O44" s="1"/>
    </row>
    <row r="45" spans="1:64" ht="12.75">
      <c r="A45" s="60" t="s">
        <v>15</v>
      </c>
      <c r="B45" s="5"/>
      <c r="C45" s="5" t="s">
        <v>177</v>
      </c>
      <c r="D45" s="159" t="s">
        <v>381</v>
      </c>
      <c r="E45" s="150"/>
      <c r="F45" s="5" t="s">
        <v>882</v>
      </c>
      <c r="G45" s="11">
        <v>1301.65</v>
      </c>
      <c r="H45" s="103"/>
      <c r="I45" s="11">
        <f>G45*AO45</f>
        <v>0</v>
      </c>
      <c r="J45" s="11">
        <f>G45*AP45</f>
        <v>0</v>
      </c>
      <c r="K45" s="11">
        <f>G45*H45</f>
        <v>0</v>
      </c>
      <c r="L45" s="11">
        <v>0</v>
      </c>
      <c r="M45" s="11">
        <f>G45*L45</f>
        <v>0</v>
      </c>
      <c r="N45" s="15" t="s">
        <v>912</v>
      </c>
      <c r="O45" s="1"/>
      <c r="Z45" s="20">
        <f>IF(AQ45="5",BJ45,0)</f>
        <v>0</v>
      </c>
      <c r="AB45" s="20">
        <f>IF(AQ45="1",BH45,0)</f>
        <v>0</v>
      </c>
      <c r="AC45" s="20">
        <f>IF(AQ45="1",BI45,0)</f>
        <v>0</v>
      </c>
      <c r="AD45" s="20">
        <f>IF(AQ45="7",BH45,0)</f>
        <v>0</v>
      </c>
      <c r="AE45" s="20">
        <f>IF(AQ45="7",BI45,0)</f>
        <v>0</v>
      </c>
      <c r="AF45" s="20">
        <f>IF(AQ45="2",BH45,0)</f>
        <v>0</v>
      </c>
      <c r="AG45" s="20">
        <f>IF(AQ45="2",BI45,0)</f>
        <v>0</v>
      </c>
      <c r="AH45" s="20">
        <f>IF(AQ45="0",BJ45,0)</f>
        <v>0</v>
      </c>
      <c r="AI45" s="14"/>
      <c r="AJ45" s="11">
        <f>IF(AN45=0,K45,0)</f>
        <v>0</v>
      </c>
      <c r="AK45" s="11">
        <f>IF(AN45=15,K45,0)</f>
        <v>0</v>
      </c>
      <c r="AL45" s="11">
        <f>IF(AN45=21,K45,0)</f>
        <v>0</v>
      </c>
      <c r="AN45" s="20">
        <v>21</v>
      </c>
      <c r="AO45" s="20">
        <f>H45*0</f>
        <v>0</v>
      </c>
      <c r="AP45" s="20">
        <f>H45*(1-0)</f>
        <v>0</v>
      </c>
      <c r="AQ45" s="21" t="s">
        <v>7</v>
      </c>
      <c r="AV45" s="20">
        <f>AW45+AX45</f>
        <v>0</v>
      </c>
      <c r="AW45" s="20">
        <f>G45*AO45</f>
        <v>0</v>
      </c>
      <c r="AX45" s="20">
        <f>G45*AP45</f>
        <v>0</v>
      </c>
      <c r="AY45" s="23" t="s">
        <v>925</v>
      </c>
      <c r="AZ45" s="23" t="s">
        <v>963</v>
      </c>
      <c r="BA45" s="14" t="s">
        <v>976</v>
      </c>
      <c r="BC45" s="20">
        <f>AW45+AX45</f>
        <v>0</v>
      </c>
      <c r="BD45" s="20">
        <f>H45/(100-BE45)*100</f>
        <v>0</v>
      </c>
      <c r="BE45" s="20">
        <v>0</v>
      </c>
      <c r="BF45" s="20">
        <f>M45</f>
        <v>0</v>
      </c>
      <c r="BH45" s="11">
        <f>G45*AO45</f>
        <v>0</v>
      </c>
      <c r="BI45" s="11">
        <f>G45*AP45</f>
        <v>0</v>
      </c>
      <c r="BJ45" s="11">
        <f>G45*H45</f>
        <v>0</v>
      </c>
      <c r="BK45" s="11" t="s">
        <v>981</v>
      </c>
      <c r="BL45" s="20">
        <v>16</v>
      </c>
    </row>
    <row r="46" spans="1:15" ht="12.75">
      <c r="A46" s="1"/>
      <c r="D46" s="63" t="s">
        <v>1037</v>
      </c>
      <c r="E46" s="63" t="s">
        <v>775</v>
      </c>
      <c r="G46" s="12">
        <v>1301.65</v>
      </c>
      <c r="N46" s="16"/>
      <c r="O46" s="1"/>
    </row>
    <row r="47" spans="1:64" ht="12.75">
      <c r="A47" s="60" t="s">
        <v>16</v>
      </c>
      <c r="B47" s="5"/>
      <c r="C47" s="5" t="s">
        <v>178</v>
      </c>
      <c r="D47" s="159" t="s">
        <v>382</v>
      </c>
      <c r="E47" s="150"/>
      <c r="F47" s="5" t="s">
        <v>882</v>
      </c>
      <c r="G47" s="11">
        <v>37.19</v>
      </c>
      <c r="H47" s="103"/>
      <c r="I47" s="11">
        <f>G47*AO47</f>
        <v>0</v>
      </c>
      <c r="J47" s="11">
        <f>G47*AP47</f>
        <v>0</v>
      </c>
      <c r="K47" s="11">
        <f>G47*H47</f>
        <v>0</v>
      </c>
      <c r="L47" s="11">
        <v>0</v>
      </c>
      <c r="M47" s="11">
        <f>G47*L47</f>
        <v>0</v>
      </c>
      <c r="N47" s="15" t="s">
        <v>912</v>
      </c>
      <c r="O47" s="1"/>
      <c r="Z47" s="20">
        <f>IF(AQ47="5",BJ47,0)</f>
        <v>0</v>
      </c>
      <c r="AB47" s="20">
        <f>IF(AQ47="1",BH47,0)</f>
        <v>0</v>
      </c>
      <c r="AC47" s="20">
        <f>IF(AQ47="1",BI47,0)</f>
        <v>0</v>
      </c>
      <c r="AD47" s="20">
        <f>IF(AQ47="7",BH47,0)</f>
        <v>0</v>
      </c>
      <c r="AE47" s="20">
        <f>IF(AQ47="7",BI47,0)</f>
        <v>0</v>
      </c>
      <c r="AF47" s="20">
        <f>IF(AQ47="2",BH47,0)</f>
        <v>0</v>
      </c>
      <c r="AG47" s="20">
        <f>IF(AQ47="2",BI47,0)</f>
        <v>0</v>
      </c>
      <c r="AH47" s="20">
        <f>IF(AQ47="0",BJ47,0)</f>
        <v>0</v>
      </c>
      <c r="AI47" s="14"/>
      <c r="AJ47" s="11">
        <f>IF(AN47=0,K47,0)</f>
        <v>0</v>
      </c>
      <c r="AK47" s="11">
        <f>IF(AN47=15,K47,0)</f>
        <v>0</v>
      </c>
      <c r="AL47" s="11">
        <f>IF(AN47=21,K47,0)</f>
        <v>0</v>
      </c>
      <c r="AN47" s="20">
        <v>21</v>
      </c>
      <c r="AO47" s="20">
        <f>H47*0</f>
        <v>0</v>
      </c>
      <c r="AP47" s="20">
        <f>H47*(1-0)</f>
        <v>0</v>
      </c>
      <c r="AQ47" s="21" t="s">
        <v>7</v>
      </c>
      <c r="AV47" s="20">
        <f>AW47+AX47</f>
        <v>0</v>
      </c>
      <c r="AW47" s="20">
        <f>G47*AO47</f>
        <v>0</v>
      </c>
      <c r="AX47" s="20">
        <f>G47*AP47</f>
        <v>0</v>
      </c>
      <c r="AY47" s="23" t="s">
        <v>925</v>
      </c>
      <c r="AZ47" s="23" t="s">
        <v>963</v>
      </c>
      <c r="BA47" s="14" t="s">
        <v>976</v>
      </c>
      <c r="BC47" s="20">
        <f>AW47+AX47</f>
        <v>0</v>
      </c>
      <c r="BD47" s="20">
        <f>H47/(100-BE47)*100</f>
        <v>0</v>
      </c>
      <c r="BE47" s="20">
        <v>0</v>
      </c>
      <c r="BF47" s="20">
        <f>M47</f>
        <v>0</v>
      </c>
      <c r="BH47" s="11">
        <f>G47*AO47</f>
        <v>0</v>
      </c>
      <c r="BI47" s="11">
        <f>G47*AP47</f>
        <v>0</v>
      </c>
      <c r="BJ47" s="11">
        <f>G47*H47</f>
        <v>0</v>
      </c>
      <c r="BK47" s="11" t="s">
        <v>981</v>
      </c>
      <c r="BL47" s="20">
        <v>16</v>
      </c>
    </row>
    <row r="48" spans="1:15" ht="12.75">
      <c r="A48" s="1"/>
      <c r="D48" s="63" t="s">
        <v>1038</v>
      </c>
      <c r="E48" s="63"/>
      <c r="G48" s="12">
        <v>37.19</v>
      </c>
      <c r="N48" s="16"/>
      <c r="O48" s="1"/>
    </row>
    <row r="49" spans="1:47" ht="12.75">
      <c r="A49" s="2"/>
      <c r="B49" s="6"/>
      <c r="C49" s="6" t="s">
        <v>23</v>
      </c>
      <c r="D49" s="174" t="s">
        <v>383</v>
      </c>
      <c r="E49" s="175"/>
      <c r="F49" s="10" t="s">
        <v>6</v>
      </c>
      <c r="G49" s="10" t="s">
        <v>6</v>
      </c>
      <c r="H49" s="10"/>
      <c r="I49" s="25">
        <f>SUM(I50:I50)</f>
        <v>0</v>
      </c>
      <c r="J49" s="25">
        <f>SUM(J50:J50)</f>
        <v>0</v>
      </c>
      <c r="K49" s="25">
        <f>SUM(K50:K50)</f>
        <v>0</v>
      </c>
      <c r="L49" s="14"/>
      <c r="M49" s="25">
        <f>SUM(M50:M50)</f>
        <v>0</v>
      </c>
      <c r="N49" s="17"/>
      <c r="O49" s="1"/>
      <c r="AI49" s="14"/>
      <c r="AS49" s="25">
        <f>SUM(AJ50:AJ50)</f>
        <v>0</v>
      </c>
      <c r="AT49" s="25">
        <f>SUM(AK50:AK50)</f>
        <v>0</v>
      </c>
      <c r="AU49" s="25">
        <f>SUM(AL50:AL50)</f>
        <v>0</v>
      </c>
    </row>
    <row r="50" spans="1:64" ht="12.75">
      <c r="A50" s="60" t="s">
        <v>17</v>
      </c>
      <c r="B50" s="5"/>
      <c r="C50" s="5" t="s">
        <v>179</v>
      </c>
      <c r="D50" s="178" t="s">
        <v>1047</v>
      </c>
      <c r="E50" s="177"/>
      <c r="F50" s="5" t="s">
        <v>882</v>
      </c>
      <c r="G50" s="11">
        <v>25.5</v>
      </c>
      <c r="H50" s="103"/>
      <c r="I50" s="11">
        <f>G50*AO50</f>
        <v>0</v>
      </c>
      <c r="J50" s="11">
        <f>G50*AP50</f>
        <v>0</v>
      </c>
      <c r="K50" s="11">
        <f>G50*H50</f>
        <v>0</v>
      </c>
      <c r="L50" s="11">
        <v>0</v>
      </c>
      <c r="M50" s="11">
        <f>G50*L50</f>
        <v>0</v>
      </c>
      <c r="N50" s="15" t="s">
        <v>912</v>
      </c>
      <c r="O50" s="1"/>
      <c r="Z50" s="20">
        <f>IF(AQ50="5",BJ50,0)</f>
        <v>0</v>
      </c>
      <c r="AB50" s="20">
        <f>IF(AQ50="1",BH50,0)</f>
        <v>0</v>
      </c>
      <c r="AC50" s="20">
        <f>IF(AQ50="1",BI50,0)</f>
        <v>0</v>
      </c>
      <c r="AD50" s="20">
        <f>IF(AQ50="7",BH50,0)</f>
        <v>0</v>
      </c>
      <c r="AE50" s="20">
        <f>IF(AQ50="7",BI50,0)</f>
        <v>0</v>
      </c>
      <c r="AF50" s="20">
        <f>IF(AQ50="2",BH50,0)</f>
        <v>0</v>
      </c>
      <c r="AG50" s="20">
        <f>IF(AQ50="2",BI50,0)</f>
        <v>0</v>
      </c>
      <c r="AH50" s="20">
        <f>IF(AQ50="0",BJ50,0)</f>
        <v>0</v>
      </c>
      <c r="AI50" s="14"/>
      <c r="AJ50" s="11">
        <f>IF(AN50=0,K50,0)</f>
        <v>0</v>
      </c>
      <c r="AK50" s="11">
        <f>IF(AN50=15,K50,0)</f>
        <v>0</v>
      </c>
      <c r="AL50" s="11">
        <f>IF(AN50=21,K50,0)</f>
        <v>0</v>
      </c>
      <c r="AN50" s="20">
        <v>21</v>
      </c>
      <c r="AO50" s="20">
        <f>H50*0</f>
        <v>0</v>
      </c>
      <c r="AP50" s="20">
        <f>H50*(1-0)</f>
        <v>0</v>
      </c>
      <c r="AQ50" s="21" t="s">
        <v>7</v>
      </c>
      <c r="AV50" s="20">
        <f>AW50+AX50</f>
        <v>0</v>
      </c>
      <c r="AW50" s="20">
        <f>G50*AO50</f>
        <v>0</v>
      </c>
      <c r="AX50" s="20">
        <f>G50*AP50</f>
        <v>0</v>
      </c>
      <c r="AY50" s="23" t="s">
        <v>926</v>
      </c>
      <c r="AZ50" s="23" t="s">
        <v>963</v>
      </c>
      <c r="BA50" s="14" t="s">
        <v>976</v>
      </c>
      <c r="BC50" s="20">
        <f>AW50+AX50</f>
        <v>0</v>
      </c>
      <c r="BD50" s="20">
        <f>H50/(100-BE50)*100</f>
        <v>0</v>
      </c>
      <c r="BE50" s="20">
        <v>0</v>
      </c>
      <c r="BF50" s="20">
        <f>M50</f>
        <v>0</v>
      </c>
      <c r="BH50" s="11">
        <f>G50*AO50</f>
        <v>0</v>
      </c>
      <c r="BI50" s="11">
        <f>G50*AP50</f>
        <v>0</v>
      </c>
      <c r="BJ50" s="11">
        <f>G50*H50</f>
        <v>0</v>
      </c>
      <c r="BK50" s="11" t="s">
        <v>981</v>
      </c>
      <c r="BL50" s="20">
        <v>17</v>
      </c>
    </row>
    <row r="51" spans="1:15" ht="12.75">
      <c r="A51" s="1"/>
      <c r="D51" s="8" t="s">
        <v>375</v>
      </c>
      <c r="E51" s="9"/>
      <c r="G51" s="12">
        <v>16.25375</v>
      </c>
      <c r="N51" s="16"/>
      <c r="O51" s="1"/>
    </row>
    <row r="52" spans="1:15" ht="12.75">
      <c r="A52" s="1"/>
      <c r="D52" s="8" t="s">
        <v>362</v>
      </c>
      <c r="E52" s="9" t="s">
        <v>762</v>
      </c>
      <c r="G52" s="12">
        <v>2.28</v>
      </c>
      <c r="N52" s="16"/>
      <c r="O52" s="1"/>
    </row>
    <row r="53" spans="1:15" ht="12.75">
      <c r="A53" s="1"/>
      <c r="D53" s="8" t="s">
        <v>363</v>
      </c>
      <c r="E53" s="9" t="s">
        <v>763</v>
      </c>
      <c r="G53" s="12">
        <v>2.16605</v>
      </c>
      <c r="N53" s="16"/>
      <c r="O53" s="1"/>
    </row>
    <row r="54" spans="1:15" ht="12.75">
      <c r="A54" s="1"/>
      <c r="D54" s="63" t="s">
        <v>1039</v>
      </c>
      <c r="E54" s="9" t="s">
        <v>764</v>
      </c>
      <c r="G54" s="12">
        <v>4.8</v>
      </c>
      <c r="N54" s="16"/>
      <c r="O54" s="1"/>
    </row>
    <row r="55" spans="1:47" ht="12.75">
      <c r="A55" s="2"/>
      <c r="B55" s="6"/>
      <c r="C55" s="6" t="s">
        <v>24</v>
      </c>
      <c r="D55" s="174" t="s">
        <v>384</v>
      </c>
      <c r="E55" s="175"/>
      <c r="F55" s="10" t="s">
        <v>6</v>
      </c>
      <c r="G55" s="10" t="s">
        <v>6</v>
      </c>
      <c r="H55" s="10"/>
      <c r="I55" s="25">
        <f>SUM(I56:I76)</f>
        <v>0</v>
      </c>
      <c r="J55" s="25">
        <f>SUM(J56:J76)</f>
        <v>0</v>
      </c>
      <c r="K55" s="25">
        <f>SUM(K56:K76)</f>
        <v>0</v>
      </c>
      <c r="L55" s="14"/>
      <c r="M55" s="25">
        <f>SUM(M56:M76)</f>
        <v>61.7374175</v>
      </c>
      <c r="N55" s="17"/>
      <c r="O55" s="1"/>
      <c r="AI55" s="14"/>
      <c r="AS55" s="25">
        <f>SUM(AJ56:AJ76)</f>
        <v>0</v>
      </c>
      <c r="AT55" s="25">
        <f>SUM(AK56:AK76)</f>
        <v>0</v>
      </c>
      <c r="AU55" s="25">
        <f>SUM(AL56:AL76)</f>
        <v>0</v>
      </c>
    </row>
    <row r="56" spans="1:64" ht="12.75">
      <c r="A56" s="60" t="s">
        <v>18</v>
      </c>
      <c r="B56" s="5"/>
      <c r="C56" s="5" t="s">
        <v>180</v>
      </c>
      <c r="D56" s="176" t="s">
        <v>385</v>
      </c>
      <c r="E56" s="177"/>
      <c r="F56" s="5" t="s">
        <v>881</v>
      </c>
      <c r="G56" s="11">
        <v>184.815</v>
      </c>
      <c r="H56" s="103"/>
      <c r="I56" s="11">
        <f>G56*AO56</f>
        <v>0</v>
      </c>
      <c r="J56" s="11">
        <f>G56*AP56</f>
        <v>0</v>
      </c>
      <c r="K56" s="11">
        <f>G56*H56</f>
        <v>0</v>
      </c>
      <c r="L56" s="11">
        <v>0</v>
      </c>
      <c r="M56" s="11">
        <f>G56*L56</f>
        <v>0</v>
      </c>
      <c r="N56" s="15" t="s">
        <v>912</v>
      </c>
      <c r="O56" s="1"/>
      <c r="Z56" s="20">
        <f>IF(AQ56="5",BJ56,0)</f>
        <v>0</v>
      </c>
      <c r="AB56" s="20">
        <f>IF(AQ56="1",BH56,0)</f>
        <v>0</v>
      </c>
      <c r="AC56" s="20">
        <f>IF(AQ56="1",BI56,0)</f>
        <v>0</v>
      </c>
      <c r="AD56" s="20">
        <f>IF(AQ56="7",BH56,0)</f>
        <v>0</v>
      </c>
      <c r="AE56" s="20">
        <f>IF(AQ56="7",BI56,0)</f>
        <v>0</v>
      </c>
      <c r="AF56" s="20">
        <f>IF(AQ56="2",BH56,0)</f>
        <v>0</v>
      </c>
      <c r="AG56" s="20">
        <f>IF(AQ56="2",BI56,0)</f>
        <v>0</v>
      </c>
      <c r="AH56" s="20">
        <f>IF(AQ56="0",BJ56,0)</f>
        <v>0</v>
      </c>
      <c r="AI56" s="14"/>
      <c r="AJ56" s="11">
        <f>IF(AN56=0,K56,0)</f>
        <v>0</v>
      </c>
      <c r="AK56" s="11">
        <f>IF(AN56=15,K56,0)</f>
        <v>0</v>
      </c>
      <c r="AL56" s="11">
        <f>IF(AN56=21,K56,0)</f>
        <v>0</v>
      </c>
      <c r="AN56" s="20">
        <v>21</v>
      </c>
      <c r="AO56" s="20">
        <f>H56*0</f>
        <v>0</v>
      </c>
      <c r="AP56" s="20">
        <f>H56*(1-0)</f>
        <v>0</v>
      </c>
      <c r="AQ56" s="21" t="s">
        <v>7</v>
      </c>
      <c r="AV56" s="20">
        <f>AW56+AX56</f>
        <v>0</v>
      </c>
      <c r="AW56" s="20">
        <f>G56*AO56</f>
        <v>0</v>
      </c>
      <c r="AX56" s="20">
        <f>G56*AP56</f>
        <v>0</v>
      </c>
      <c r="AY56" s="23" t="s">
        <v>927</v>
      </c>
      <c r="AZ56" s="23" t="s">
        <v>963</v>
      </c>
      <c r="BA56" s="14" t="s">
        <v>976</v>
      </c>
      <c r="BC56" s="20">
        <f>AW56+AX56</f>
        <v>0</v>
      </c>
      <c r="BD56" s="20">
        <f>H56/(100-BE56)*100</f>
        <v>0</v>
      </c>
      <c r="BE56" s="20">
        <v>0</v>
      </c>
      <c r="BF56" s="20">
        <f>M56</f>
        <v>0</v>
      </c>
      <c r="BH56" s="11">
        <f>G56*AO56</f>
        <v>0</v>
      </c>
      <c r="BI56" s="11">
        <f>G56*AP56</f>
        <v>0</v>
      </c>
      <c r="BJ56" s="11">
        <f>G56*H56</f>
        <v>0</v>
      </c>
      <c r="BK56" s="11" t="s">
        <v>981</v>
      </c>
      <c r="BL56" s="20">
        <v>18</v>
      </c>
    </row>
    <row r="57" spans="1:15" ht="12.75">
      <c r="A57" s="1"/>
      <c r="D57" s="8" t="s">
        <v>386</v>
      </c>
      <c r="E57" s="9" t="s">
        <v>776</v>
      </c>
      <c r="G57" s="12">
        <v>18.27</v>
      </c>
      <c r="N57" s="16"/>
      <c r="O57" s="1"/>
    </row>
    <row r="58" spans="1:15" ht="12.75">
      <c r="A58" s="1"/>
      <c r="D58" s="8" t="s">
        <v>387</v>
      </c>
      <c r="E58" s="9" t="s">
        <v>777</v>
      </c>
      <c r="G58" s="12">
        <v>57.075</v>
      </c>
      <c r="N58" s="16"/>
      <c r="O58" s="1"/>
    </row>
    <row r="59" spans="1:15" ht="12.75">
      <c r="A59" s="1"/>
      <c r="D59" s="8" t="s">
        <v>388</v>
      </c>
      <c r="E59" s="9" t="s">
        <v>778</v>
      </c>
      <c r="G59" s="12">
        <v>66.48</v>
      </c>
      <c r="N59" s="16"/>
      <c r="O59" s="1"/>
    </row>
    <row r="60" spans="1:15" ht="12.75">
      <c r="A60" s="1"/>
      <c r="D60" s="8" t="s">
        <v>389</v>
      </c>
      <c r="E60" s="9" t="s">
        <v>779</v>
      </c>
      <c r="G60" s="12">
        <v>42.99</v>
      </c>
      <c r="N60" s="16"/>
      <c r="O60" s="1"/>
    </row>
    <row r="61" spans="1:64" ht="12.75">
      <c r="A61" s="60" t="s">
        <v>19</v>
      </c>
      <c r="B61" s="5"/>
      <c r="C61" s="5" t="s">
        <v>181</v>
      </c>
      <c r="D61" s="176" t="s">
        <v>390</v>
      </c>
      <c r="E61" s="177"/>
      <c r="F61" s="5" t="s">
        <v>881</v>
      </c>
      <c r="G61" s="11">
        <v>184.815</v>
      </c>
      <c r="H61" s="103"/>
      <c r="I61" s="11">
        <f>G61*AO61</f>
        <v>0</v>
      </c>
      <c r="J61" s="11">
        <f>G61*AP61</f>
        <v>0</v>
      </c>
      <c r="K61" s="11">
        <f>G61*H61</f>
        <v>0</v>
      </c>
      <c r="L61" s="11">
        <v>0</v>
      </c>
      <c r="M61" s="11">
        <f>G61*L61</f>
        <v>0</v>
      </c>
      <c r="N61" s="15" t="s">
        <v>912</v>
      </c>
      <c r="O61" s="1"/>
      <c r="Z61" s="20">
        <f>IF(AQ61="5",BJ61,0)</f>
        <v>0</v>
      </c>
      <c r="AB61" s="20">
        <f>IF(AQ61="1",BH61,0)</f>
        <v>0</v>
      </c>
      <c r="AC61" s="20">
        <f>IF(AQ61="1",BI61,0)</f>
        <v>0</v>
      </c>
      <c r="AD61" s="20">
        <f>IF(AQ61="7",BH61,0)</f>
        <v>0</v>
      </c>
      <c r="AE61" s="20">
        <f>IF(AQ61="7",BI61,0)</f>
        <v>0</v>
      </c>
      <c r="AF61" s="20">
        <f>IF(AQ61="2",BH61,0)</f>
        <v>0</v>
      </c>
      <c r="AG61" s="20">
        <f>IF(AQ61="2",BI61,0)</f>
        <v>0</v>
      </c>
      <c r="AH61" s="20">
        <f>IF(AQ61="0",BJ61,0)</f>
        <v>0</v>
      </c>
      <c r="AI61" s="14"/>
      <c r="AJ61" s="11">
        <f>IF(AN61=0,K61,0)</f>
        <v>0</v>
      </c>
      <c r="AK61" s="11">
        <f>IF(AN61=15,K61,0)</f>
        <v>0</v>
      </c>
      <c r="AL61" s="11">
        <f>IF(AN61=21,K61,0)</f>
        <v>0</v>
      </c>
      <c r="AN61" s="20">
        <v>21</v>
      </c>
      <c r="AO61" s="20">
        <f>H61*0</f>
        <v>0</v>
      </c>
      <c r="AP61" s="20">
        <f>H61*(1-0)</f>
        <v>0</v>
      </c>
      <c r="AQ61" s="21" t="s">
        <v>7</v>
      </c>
      <c r="AV61" s="20">
        <f>AW61+AX61</f>
        <v>0</v>
      </c>
      <c r="AW61" s="20">
        <f>G61*AO61</f>
        <v>0</v>
      </c>
      <c r="AX61" s="20">
        <f>G61*AP61</f>
        <v>0</v>
      </c>
      <c r="AY61" s="23" t="s">
        <v>927</v>
      </c>
      <c r="AZ61" s="23" t="s">
        <v>963</v>
      </c>
      <c r="BA61" s="14" t="s">
        <v>976</v>
      </c>
      <c r="BC61" s="20">
        <f>AW61+AX61</f>
        <v>0</v>
      </c>
      <c r="BD61" s="20">
        <f>H61/(100-BE61)*100</f>
        <v>0</v>
      </c>
      <c r="BE61" s="20">
        <v>0</v>
      </c>
      <c r="BF61" s="20">
        <f>M61</f>
        <v>0</v>
      </c>
      <c r="BH61" s="11">
        <f>G61*AO61</f>
        <v>0</v>
      </c>
      <c r="BI61" s="11">
        <f>G61*AP61</f>
        <v>0</v>
      </c>
      <c r="BJ61" s="11">
        <f>G61*H61</f>
        <v>0</v>
      </c>
      <c r="BK61" s="11" t="s">
        <v>981</v>
      </c>
      <c r="BL61" s="20">
        <v>18</v>
      </c>
    </row>
    <row r="62" spans="1:15" ht="12.75">
      <c r="A62" s="1"/>
      <c r="D62" s="8" t="s">
        <v>386</v>
      </c>
      <c r="E62" s="9" t="s">
        <v>776</v>
      </c>
      <c r="G62" s="12">
        <v>18.27</v>
      </c>
      <c r="N62" s="16"/>
      <c r="O62" s="1"/>
    </row>
    <row r="63" spans="1:15" ht="12.75">
      <c r="A63" s="1"/>
      <c r="D63" s="8" t="s">
        <v>387</v>
      </c>
      <c r="E63" s="9" t="s">
        <v>777</v>
      </c>
      <c r="G63" s="12">
        <v>57.075</v>
      </c>
      <c r="N63" s="16"/>
      <c r="O63" s="1"/>
    </row>
    <row r="64" spans="1:15" ht="12.75">
      <c r="A64" s="1"/>
      <c r="D64" s="8" t="s">
        <v>388</v>
      </c>
      <c r="E64" s="9" t="s">
        <v>778</v>
      </c>
      <c r="G64" s="12">
        <v>66.48</v>
      </c>
      <c r="N64" s="16"/>
      <c r="O64" s="1"/>
    </row>
    <row r="65" spans="1:15" ht="12.75">
      <c r="A65" s="1"/>
      <c r="D65" s="8" t="s">
        <v>389</v>
      </c>
      <c r="E65" s="9" t="s">
        <v>779</v>
      </c>
      <c r="G65" s="12">
        <v>42.99</v>
      </c>
      <c r="N65" s="16"/>
      <c r="O65" s="1"/>
    </row>
    <row r="66" spans="1:64" ht="12.75">
      <c r="A66" s="60" t="s">
        <v>20</v>
      </c>
      <c r="B66" s="5"/>
      <c r="C66" s="5" t="s">
        <v>182</v>
      </c>
      <c r="D66" s="176" t="s">
        <v>391</v>
      </c>
      <c r="E66" s="177"/>
      <c r="F66" s="5" t="s">
        <v>881</v>
      </c>
      <c r="G66" s="11">
        <v>184.815</v>
      </c>
      <c r="H66" s="103"/>
      <c r="I66" s="11">
        <f>G66*AO66</f>
        <v>0</v>
      </c>
      <c r="J66" s="11">
        <f>G66*AP66</f>
        <v>0</v>
      </c>
      <c r="K66" s="11">
        <f>G66*H66</f>
        <v>0</v>
      </c>
      <c r="L66" s="11">
        <v>0</v>
      </c>
      <c r="M66" s="11">
        <f>G66*L66</f>
        <v>0</v>
      </c>
      <c r="N66" s="15" t="s">
        <v>912</v>
      </c>
      <c r="O66" s="1"/>
      <c r="Z66" s="20">
        <f>IF(AQ66="5",BJ66,0)</f>
        <v>0</v>
      </c>
      <c r="AB66" s="20">
        <f>IF(AQ66="1",BH66,0)</f>
        <v>0</v>
      </c>
      <c r="AC66" s="20">
        <f>IF(AQ66="1",BI66,0)</f>
        <v>0</v>
      </c>
      <c r="AD66" s="20">
        <f>IF(AQ66="7",BH66,0)</f>
        <v>0</v>
      </c>
      <c r="AE66" s="20">
        <f>IF(AQ66="7",BI66,0)</f>
        <v>0</v>
      </c>
      <c r="AF66" s="20">
        <f>IF(AQ66="2",BH66,0)</f>
        <v>0</v>
      </c>
      <c r="AG66" s="20">
        <f>IF(AQ66="2",BI66,0)</f>
        <v>0</v>
      </c>
      <c r="AH66" s="20">
        <f>IF(AQ66="0",BJ66,0)</f>
        <v>0</v>
      </c>
      <c r="AI66" s="14"/>
      <c r="AJ66" s="11">
        <f>IF(AN66=0,K66,0)</f>
        <v>0</v>
      </c>
      <c r="AK66" s="11">
        <f>IF(AN66=15,K66,0)</f>
        <v>0</v>
      </c>
      <c r="AL66" s="11">
        <f>IF(AN66=21,K66,0)</f>
        <v>0</v>
      </c>
      <c r="AN66" s="20">
        <v>21</v>
      </c>
      <c r="AO66" s="20">
        <f>H66*0.0348162311851252</f>
        <v>0</v>
      </c>
      <c r="AP66" s="20">
        <f>H66*(1-0.0348162311851252)</f>
        <v>0</v>
      </c>
      <c r="AQ66" s="21" t="s">
        <v>7</v>
      </c>
      <c r="AV66" s="20">
        <f>AW66+AX66</f>
        <v>0</v>
      </c>
      <c r="AW66" s="20">
        <f>G66*AO66</f>
        <v>0</v>
      </c>
      <c r="AX66" s="20">
        <f>G66*AP66</f>
        <v>0</v>
      </c>
      <c r="AY66" s="23" t="s">
        <v>927</v>
      </c>
      <c r="AZ66" s="23" t="s">
        <v>963</v>
      </c>
      <c r="BA66" s="14" t="s">
        <v>976</v>
      </c>
      <c r="BC66" s="20">
        <f>AW66+AX66</f>
        <v>0</v>
      </c>
      <c r="BD66" s="20">
        <f>H66/(100-BE66)*100</f>
        <v>0</v>
      </c>
      <c r="BE66" s="20">
        <v>0</v>
      </c>
      <c r="BF66" s="20">
        <f>M66</f>
        <v>0</v>
      </c>
      <c r="BH66" s="11">
        <f>G66*AO66</f>
        <v>0</v>
      </c>
      <c r="BI66" s="11">
        <f>G66*AP66</f>
        <v>0</v>
      </c>
      <c r="BJ66" s="11">
        <f>G66*H66</f>
        <v>0</v>
      </c>
      <c r="BK66" s="11" t="s">
        <v>981</v>
      </c>
      <c r="BL66" s="20">
        <v>18</v>
      </c>
    </row>
    <row r="67" spans="1:15" ht="12.75">
      <c r="A67" s="1"/>
      <c r="D67" s="8" t="s">
        <v>386</v>
      </c>
      <c r="E67" s="9" t="s">
        <v>776</v>
      </c>
      <c r="G67" s="12">
        <v>18.27</v>
      </c>
      <c r="N67" s="16"/>
      <c r="O67" s="1"/>
    </row>
    <row r="68" spans="1:15" ht="12.75">
      <c r="A68" s="1"/>
      <c r="D68" s="8" t="s">
        <v>387</v>
      </c>
      <c r="E68" s="9" t="s">
        <v>777</v>
      </c>
      <c r="G68" s="12">
        <v>57.075</v>
      </c>
      <c r="N68" s="16"/>
      <c r="O68" s="1"/>
    </row>
    <row r="69" spans="1:15" ht="12.75">
      <c r="A69" s="1"/>
      <c r="D69" s="8" t="s">
        <v>388</v>
      </c>
      <c r="E69" s="9" t="s">
        <v>778</v>
      </c>
      <c r="G69" s="12">
        <v>66.48</v>
      </c>
      <c r="N69" s="16"/>
      <c r="O69" s="1"/>
    </row>
    <row r="70" spans="1:15" ht="12.75">
      <c r="A70" s="1"/>
      <c r="D70" s="8" t="s">
        <v>389</v>
      </c>
      <c r="E70" s="9" t="s">
        <v>779</v>
      </c>
      <c r="G70" s="12">
        <v>42.99</v>
      </c>
      <c r="N70" s="16"/>
      <c r="O70" s="1"/>
    </row>
    <row r="71" spans="1:64" ht="12.75">
      <c r="A71" s="61" t="s">
        <v>21</v>
      </c>
      <c r="B71" s="7"/>
      <c r="C71" s="7" t="s">
        <v>183</v>
      </c>
      <c r="D71" s="179" t="s">
        <v>392</v>
      </c>
      <c r="E71" s="180"/>
      <c r="F71" s="7" t="s">
        <v>882</v>
      </c>
      <c r="G71" s="13">
        <v>36.963</v>
      </c>
      <c r="H71" s="104"/>
      <c r="I71" s="13">
        <f>G71*AO71</f>
        <v>0</v>
      </c>
      <c r="J71" s="13">
        <f>G71*AP71</f>
        <v>0</v>
      </c>
      <c r="K71" s="13">
        <f>G71*H71</f>
        <v>0</v>
      </c>
      <c r="L71" s="13">
        <v>1.67</v>
      </c>
      <c r="M71" s="13">
        <f>G71*L71</f>
        <v>61.72821</v>
      </c>
      <c r="N71" s="18" t="s">
        <v>912</v>
      </c>
      <c r="O71" s="1"/>
      <c r="Z71" s="20">
        <f>IF(AQ71="5",BJ71,0)</f>
        <v>0</v>
      </c>
      <c r="AB71" s="20">
        <f>IF(AQ71="1",BH71,0)</f>
        <v>0</v>
      </c>
      <c r="AC71" s="20">
        <f>IF(AQ71="1",BI71,0)</f>
        <v>0</v>
      </c>
      <c r="AD71" s="20">
        <f>IF(AQ71="7",BH71,0)</f>
        <v>0</v>
      </c>
      <c r="AE71" s="20">
        <f>IF(AQ71="7",BI71,0)</f>
        <v>0</v>
      </c>
      <c r="AF71" s="20">
        <f>IF(AQ71="2",BH71,0)</f>
        <v>0</v>
      </c>
      <c r="AG71" s="20">
        <f>IF(AQ71="2",BI71,0)</f>
        <v>0</v>
      </c>
      <c r="AH71" s="20">
        <f>IF(AQ71="0",BJ71,0)</f>
        <v>0</v>
      </c>
      <c r="AI71" s="14"/>
      <c r="AJ71" s="13">
        <f>IF(AN71=0,K71,0)</f>
        <v>0</v>
      </c>
      <c r="AK71" s="13">
        <f>IF(AN71=15,K71,0)</f>
        <v>0</v>
      </c>
      <c r="AL71" s="13">
        <f>IF(AN71=21,K71,0)</f>
        <v>0</v>
      </c>
      <c r="AN71" s="20">
        <v>21</v>
      </c>
      <c r="AO71" s="20">
        <f>H71*1</f>
        <v>0</v>
      </c>
      <c r="AP71" s="20">
        <f>H71*(1-1)</f>
        <v>0</v>
      </c>
      <c r="AQ71" s="22" t="s">
        <v>7</v>
      </c>
      <c r="AV71" s="20">
        <f>AW71+AX71</f>
        <v>0</v>
      </c>
      <c r="AW71" s="20">
        <f>G71*AO71</f>
        <v>0</v>
      </c>
      <c r="AX71" s="20">
        <f>G71*AP71</f>
        <v>0</v>
      </c>
      <c r="AY71" s="23" t="s">
        <v>927</v>
      </c>
      <c r="AZ71" s="23" t="s">
        <v>963</v>
      </c>
      <c r="BA71" s="14" t="s">
        <v>976</v>
      </c>
      <c r="BC71" s="20">
        <f>AW71+AX71</f>
        <v>0</v>
      </c>
      <c r="BD71" s="20">
        <f>H71/(100-BE71)*100</f>
        <v>0</v>
      </c>
      <c r="BE71" s="20">
        <v>0</v>
      </c>
      <c r="BF71" s="20">
        <f>M71</f>
        <v>61.72821</v>
      </c>
      <c r="BH71" s="13">
        <f>G71*AO71</f>
        <v>0</v>
      </c>
      <c r="BI71" s="13">
        <f>G71*AP71</f>
        <v>0</v>
      </c>
      <c r="BJ71" s="13">
        <f>G71*H71</f>
        <v>0</v>
      </c>
      <c r="BK71" s="13" t="s">
        <v>982</v>
      </c>
      <c r="BL71" s="20">
        <v>18</v>
      </c>
    </row>
    <row r="72" spans="1:15" ht="12.75">
      <c r="A72" s="1"/>
      <c r="D72" s="8" t="s">
        <v>393</v>
      </c>
      <c r="E72" s="9" t="s">
        <v>776</v>
      </c>
      <c r="G72" s="12">
        <v>3.654</v>
      </c>
      <c r="N72" s="16"/>
      <c r="O72" s="1"/>
    </row>
    <row r="73" spans="1:15" ht="12.75">
      <c r="A73" s="1"/>
      <c r="D73" s="8" t="s">
        <v>394</v>
      </c>
      <c r="E73" s="9" t="s">
        <v>777</v>
      </c>
      <c r="G73" s="12">
        <v>11.415</v>
      </c>
      <c r="N73" s="16"/>
      <c r="O73" s="1"/>
    </row>
    <row r="74" spans="1:15" ht="12.75">
      <c r="A74" s="1"/>
      <c r="D74" s="8" t="s">
        <v>395</v>
      </c>
      <c r="E74" s="9" t="s">
        <v>778</v>
      </c>
      <c r="G74" s="12">
        <v>13.296</v>
      </c>
      <c r="N74" s="16"/>
      <c r="O74" s="1"/>
    </row>
    <row r="75" spans="1:15" ht="12.75">
      <c r="A75" s="1"/>
      <c r="D75" s="8" t="s">
        <v>396</v>
      </c>
      <c r="E75" s="9" t="s">
        <v>779</v>
      </c>
      <c r="G75" s="12">
        <v>8.598</v>
      </c>
      <c r="N75" s="16"/>
      <c r="O75" s="1"/>
    </row>
    <row r="76" spans="1:64" ht="12.75">
      <c r="A76" s="61" t="s">
        <v>22</v>
      </c>
      <c r="B76" s="7"/>
      <c r="C76" s="7" t="s">
        <v>184</v>
      </c>
      <c r="D76" s="179" t="s">
        <v>397</v>
      </c>
      <c r="E76" s="180"/>
      <c r="F76" s="7" t="s">
        <v>884</v>
      </c>
      <c r="G76" s="13">
        <v>9.2075</v>
      </c>
      <c r="H76" s="104"/>
      <c r="I76" s="13">
        <f>G76*AO76</f>
        <v>0</v>
      </c>
      <c r="J76" s="13">
        <f>G76*AP76</f>
        <v>0</v>
      </c>
      <c r="K76" s="13">
        <f>G76*H76</f>
        <v>0</v>
      </c>
      <c r="L76" s="13">
        <v>0.001</v>
      </c>
      <c r="M76" s="13">
        <f>G76*L76</f>
        <v>0.0092075</v>
      </c>
      <c r="N76" s="18" t="s">
        <v>912</v>
      </c>
      <c r="O76" s="1"/>
      <c r="Z76" s="20">
        <f>IF(AQ76="5",BJ76,0)</f>
        <v>0</v>
      </c>
      <c r="AB76" s="20">
        <f>IF(AQ76="1",BH76,0)</f>
        <v>0</v>
      </c>
      <c r="AC76" s="20">
        <f>IF(AQ76="1",BI76,0)</f>
        <v>0</v>
      </c>
      <c r="AD76" s="20">
        <f>IF(AQ76="7",BH76,0)</f>
        <v>0</v>
      </c>
      <c r="AE76" s="20">
        <f>IF(AQ76="7",BI76,0)</f>
        <v>0</v>
      </c>
      <c r="AF76" s="20">
        <f>IF(AQ76="2",BH76,0)</f>
        <v>0</v>
      </c>
      <c r="AG76" s="20">
        <f>IF(AQ76="2",BI76,0)</f>
        <v>0</v>
      </c>
      <c r="AH76" s="20">
        <f>IF(AQ76="0",BJ76,0)</f>
        <v>0</v>
      </c>
      <c r="AI76" s="14"/>
      <c r="AJ76" s="13">
        <f>IF(AN76=0,K76,0)</f>
        <v>0</v>
      </c>
      <c r="AK76" s="13">
        <f>IF(AN76=15,K76,0)</f>
        <v>0</v>
      </c>
      <c r="AL76" s="13">
        <f>IF(AN76=21,K76,0)</f>
        <v>0</v>
      </c>
      <c r="AN76" s="20">
        <v>21</v>
      </c>
      <c r="AO76" s="20">
        <f>H76*1</f>
        <v>0</v>
      </c>
      <c r="AP76" s="20">
        <f>H76*(1-1)</f>
        <v>0</v>
      </c>
      <c r="AQ76" s="22" t="s">
        <v>7</v>
      </c>
      <c r="AV76" s="20">
        <f>AW76+AX76</f>
        <v>0</v>
      </c>
      <c r="AW76" s="20">
        <f>G76*AO76</f>
        <v>0</v>
      </c>
      <c r="AX76" s="20">
        <f>G76*AP76</f>
        <v>0</v>
      </c>
      <c r="AY76" s="23" t="s">
        <v>927</v>
      </c>
      <c r="AZ76" s="23" t="s">
        <v>963</v>
      </c>
      <c r="BA76" s="14" t="s">
        <v>976</v>
      </c>
      <c r="BC76" s="20">
        <f>AW76+AX76</f>
        <v>0</v>
      </c>
      <c r="BD76" s="20">
        <f>H76/(100-BE76)*100</f>
        <v>0</v>
      </c>
      <c r="BE76" s="20">
        <v>0</v>
      </c>
      <c r="BF76" s="20">
        <f>M76</f>
        <v>0.0092075</v>
      </c>
      <c r="BH76" s="13">
        <f>G76*AO76</f>
        <v>0</v>
      </c>
      <c r="BI76" s="13">
        <f>G76*AP76</f>
        <v>0</v>
      </c>
      <c r="BJ76" s="13">
        <f>G76*H76</f>
        <v>0</v>
      </c>
      <c r="BK76" s="13" t="s">
        <v>982</v>
      </c>
      <c r="BL76" s="20">
        <v>18</v>
      </c>
    </row>
    <row r="77" spans="1:15" ht="12.75">
      <c r="A77" s="1"/>
      <c r="D77" s="8" t="s">
        <v>398</v>
      </c>
      <c r="E77" s="9"/>
      <c r="G77" s="12">
        <v>9.2075</v>
      </c>
      <c r="N77" s="16"/>
      <c r="O77" s="1"/>
    </row>
    <row r="78" spans="1:47" ht="12.75">
      <c r="A78" s="2"/>
      <c r="B78" s="6"/>
      <c r="C78" s="6" t="s">
        <v>33</v>
      </c>
      <c r="D78" s="174" t="s">
        <v>399</v>
      </c>
      <c r="E78" s="175"/>
      <c r="F78" s="10" t="s">
        <v>6</v>
      </c>
      <c r="G78" s="10" t="s">
        <v>6</v>
      </c>
      <c r="H78" s="10"/>
      <c r="I78" s="25">
        <f>SUM(I79:I82)</f>
        <v>0</v>
      </c>
      <c r="J78" s="25">
        <f>SUM(J79:J82)</f>
        <v>0</v>
      </c>
      <c r="K78" s="25">
        <f>SUM(K79:K82)</f>
        <v>0</v>
      </c>
      <c r="L78" s="14"/>
      <c r="M78" s="25">
        <f>SUM(M79:M82)</f>
        <v>10.909360224</v>
      </c>
      <c r="N78" s="17"/>
      <c r="O78" s="1"/>
      <c r="AI78" s="14"/>
      <c r="AS78" s="25">
        <f>SUM(AJ79:AJ82)</f>
        <v>0</v>
      </c>
      <c r="AT78" s="25">
        <f>SUM(AK79:AK82)</f>
        <v>0</v>
      </c>
      <c r="AU78" s="25">
        <f>SUM(AL79:AL82)</f>
        <v>0</v>
      </c>
    </row>
    <row r="79" spans="1:64" ht="12.75">
      <c r="A79" s="60" t="s">
        <v>23</v>
      </c>
      <c r="B79" s="5"/>
      <c r="C79" s="5" t="s">
        <v>185</v>
      </c>
      <c r="D79" s="176" t="s">
        <v>400</v>
      </c>
      <c r="E79" s="177"/>
      <c r="F79" s="5" t="s">
        <v>882</v>
      </c>
      <c r="G79" s="11">
        <v>3.3408</v>
      </c>
      <c r="H79" s="103"/>
      <c r="I79" s="11">
        <f>G79*AO79</f>
        <v>0</v>
      </c>
      <c r="J79" s="11">
        <f>G79*AP79</f>
        <v>0</v>
      </c>
      <c r="K79" s="11">
        <f>G79*H79</f>
        <v>0</v>
      </c>
      <c r="L79" s="11">
        <v>2.62628</v>
      </c>
      <c r="M79" s="11">
        <f>G79*L79</f>
        <v>8.773876224</v>
      </c>
      <c r="N79" s="15" t="s">
        <v>912</v>
      </c>
      <c r="O79" s="1"/>
      <c r="Z79" s="20">
        <f>IF(AQ79="5",BJ79,0)</f>
        <v>0</v>
      </c>
      <c r="AB79" s="20">
        <f>IF(AQ79="1",BH79,0)</f>
        <v>0</v>
      </c>
      <c r="AC79" s="20">
        <f>IF(AQ79="1",BI79,0)</f>
        <v>0</v>
      </c>
      <c r="AD79" s="20">
        <f>IF(AQ79="7",BH79,0)</f>
        <v>0</v>
      </c>
      <c r="AE79" s="20">
        <f>IF(AQ79="7",BI79,0)</f>
        <v>0</v>
      </c>
      <c r="AF79" s="20">
        <f>IF(AQ79="2",BH79,0)</f>
        <v>0</v>
      </c>
      <c r="AG79" s="20">
        <f>IF(AQ79="2",BI79,0)</f>
        <v>0</v>
      </c>
      <c r="AH79" s="20">
        <f>IF(AQ79="0",BJ79,0)</f>
        <v>0</v>
      </c>
      <c r="AI79" s="14"/>
      <c r="AJ79" s="11">
        <f>IF(AN79=0,K79,0)</f>
        <v>0</v>
      </c>
      <c r="AK79" s="11">
        <f>IF(AN79=15,K79,0)</f>
        <v>0</v>
      </c>
      <c r="AL79" s="11">
        <f>IF(AN79=21,K79,0)</f>
        <v>0</v>
      </c>
      <c r="AN79" s="20">
        <v>21</v>
      </c>
      <c r="AO79" s="20">
        <f>H79*0.892119930748862</f>
        <v>0</v>
      </c>
      <c r="AP79" s="20">
        <f>H79*(1-0.892119930748862)</f>
        <v>0</v>
      </c>
      <c r="AQ79" s="21" t="s">
        <v>7</v>
      </c>
      <c r="AV79" s="20">
        <f>AW79+AX79</f>
        <v>0</v>
      </c>
      <c r="AW79" s="20">
        <f>G79*AO79</f>
        <v>0</v>
      </c>
      <c r="AX79" s="20">
        <f>G79*AP79</f>
        <v>0</v>
      </c>
      <c r="AY79" s="23" t="s">
        <v>928</v>
      </c>
      <c r="AZ79" s="23" t="s">
        <v>964</v>
      </c>
      <c r="BA79" s="14" t="s">
        <v>976</v>
      </c>
      <c r="BC79" s="20">
        <f>AW79+AX79</f>
        <v>0</v>
      </c>
      <c r="BD79" s="20">
        <f>H79/(100-BE79)*100</f>
        <v>0</v>
      </c>
      <c r="BE79" s="20">
        <v>0</v>
      </c>
      <c r="BF79" s="20">
        <f>M79</f>
        <v>8.773876224</v>
      </c>
      <c r="BH79" s="11">
        <f>G79*AO79</f>
        <v>0</v>
      </c>
      <c r="BI79" s="11">
        <f>G79*AP79</f>
        <v>0</v>
      </c>
      <c r="BJ79" s="11">
        <f>G79*H79</f>
        <v>0</v>
      </c>
      <c r="BK79" s="11" t="s">
        <v>981</v>
      </c>
      <c r="BL79" s="20">
        <v>27</v>
      </c>
    </row>
    <row r="80" spans="1:15" ht="12.75">
      <c r="A80" s="1"/>
      <c r="D80" s="8" t="s">
        <v>401</v>
      </c>
      <c r="E80" s="9" t="s">
        <v>780</v>
      </c>
      <c r="G80" s="12">
        <v>1.5768</v>
      </c>
      <c r="N80" s="16"/>
      <c r="O80" s="1"/>
    </row>
    <row r="81" spans="1:15" ht="12.75">
      <c r="A81" s="1"/>
      <c r="D81" s="8" t="s">
        <v>402</v>
      </c>
      <c r="E81" s="9" t="s">
        <v>780</v>
      </c>
      <c r="G81" s="12">
        <v>1.764</v>
      </c>
      <c r="N81" s="16"/>
      <c r="O81" s="1"/>
    </row>
    <row r="82" spans="1:64" ht="12.75">
      <c r="A82" s="60" t="s">
        <v>24</v>
      </c>
      <c r="B82" s="5"/>
      <c r="C82" s="5" t="s">
        <v>186</v>
      </c>
      <c r="D82" s="176" t="s">
        <v>403</v>
      </c>
      <c r="E82" s="177"/>
      <c r="F82" s="5" t="s">
        <v>882</v>
      </c>
      <c r="G82" s="11">
        <v>0.98865</v>
      </c>
      <c r="H82" s="103"/>
      <c r="I82" s="11">
        <f>G82*AO82</f>
        <v>0</v>
      </c>
      <c r="J82" s="11">
        <f>G82*AP82</f>
        <v>0</v>
      </c>
      <c r="K82" s="11">
        <f>G82*H82</f>
        <v>0</v>
      </c>
      <c r="L82" s="11">
        <v>2.16</v>
      </c>
      <c r="M82" s="11">
        <f>G82*L82</f>
        <v>2.1354840000000004</v>
      </c>
      <c r="N82" s="15" t="s">
        <v>912</v>
      </c>
      <c r="O82" s="1"/>
      <c r="Z82" s="20">
        <f>IF(AQ82="5",BJ82,0)</f>
        <v>0</v>
      </c>
      <c r="AB82" s="20">
        <f>IF(AQ82="1",BH82,0)</f>
        <v>0</v>
      </c>
      <c r="AC82" s="20">
        <f>IF(AQ82="1",BI82,0)</f>
        <v>0</v>
      </c>
      <c r="AD82" s="20">
        <f>IF(AQ82="7",BH82,0)</f>
        <v>0</v>
      </c>
      <c r="AE82" s="20">
        <f>IF(AQ82="7",BI82,0)</f>
        <v>0</v>
      </c>
      <c r="AF82" s="20">
        <f>IF(AQ82="2",BH82,0)</f>
        <v>0</v>
      </c>
      <c r="AG82" s="20">
        <f>IF(AQ82="2",BI82,0)</f>
        <v>0</v>
      </c>
      <c r="AH82" s="20">
        <f>IF(AQ82="0",BJ82,0)</f>
        <v>0</v>
      </c>
      <c r="AI82" s="14"/>
      <c r="AJ82" s="11">
        <f>IF(AN82=0,K82,0)</f>
        <v>0</v>
      </c>
      <c r="AK82" s="11">
        <f>IF(AN82=15,K82,0)</f>
        <v>0</v>
      </c>
      <c r="AL82" s="11">
        <f>IF(AN82=21,K82,0)</f>
        <v>0</v>
      </c>
      <c r="AN82" s="20">
        <v>21</v>
      </c>
      <c r="AO82" s="20">
        <f>H82*0.631905232620001</f>
        <v>0</v>
      </c>
      <c r="AP82" s="20">
        <f>H82*(1-0.631905232620001)</f>
        <v>0</v>
      </c>
      <c r="AQ82" s="21" t="s">
        <v>7</v>
      </c>
      <c r="AV82" s="20">
        <f>AW82+AX82</f>
        <v>0</v>
      </c>
      <c r="AW82" s="20">
        <f>G82*AO82</f>
        <v>0</v>
      </c>
      <c r="AX82" s="20">
        <f>G82*AP82</f>
        <v>0</v>
      </c>
      <c r="AY82" s="23" t="s">
        <v>928</v>
      </c>
      <c r="AZ82" s="23" t="s">
        <v>964</v>
      </c>
      <c r="BA82" s="14" t="s">
        <v>976</v>
      </c>
      <c r="BC82" s="20">
        <f>AW82+AX82</f>
        <v>0</v>
      </c>
      <c r="BD82" s="20">
        <f>H82/(100-BE82)*100</f>
        <v>0</v>
      </c>
      <c r="BE82" s="20">
        <v>0</v>
      </c>
      <c r="BF82" s="20">
        <f>M82</f>
        <v>2.1354840000000004</v>
      </c>
      <c r="BH82" s="11">
        <f>G82*AO82</f>
        <v>0</v>
      </c>
      <c r="BI82" s="11">
        <f>G82*AP82</f>
        <v>0</v>
      </c>
      <c r="BJ82" s="11">
        <f>G82*H82</f>
        <v>0</v>
      </c>
      <c r="BK82" s="11" t="s">
        <v>981</v>
      </c>
      <c r="BL82" s="20">
        <v>27</v>
      </c>
    </row>
    <row r="83" spans="1:15" ht="12.75">
      <c r="A83" s="1"/>
      <c r="D83" s="8" t="s">
        <v>404</v>
      </c>
      <c r="E83" s="9" t="s">
        <v>781</v>
      </c>
      <c r="G83" s="12">
        <v>0.98865</v>
      </c>
      <c r="N83" s="16"/>
      <c r="O83" s="1"/>
    </row>
    <row r="84" spans="1:47" ht="12.75">
      <c r="A84" s="2"/>
      <c r="B84" s="6"/>
      <c r="C84" s="6" t="s">
        <v>48</v>
      </c>
      <c r="D84" s="174" t="s">
        <v>405</v>
      </c>
      <c r="E84" s="175"/>
      <c r="F84" s="10" t="s">
        <v>6</v>
      </c>
      <c r="G84" s="10" t="s">
        <v>6</v>
      </c>
      <c r="H84" s="10"/>
      <c r="I84" s="25">
        <f>SUM(I85:I85)</f>
        <v>0</v>
      </c>
      <c r="J84" s="25">
        <f>SUM(J85:J85)</f>
        <v>0</v>
      </c>
      <c r="K84" s="25">
        <f>SUM(K85:K85)</f>
        <v>0</v>
      </c>
      <c r="L84" s="14"/>
      <c r="M84" s="25">
        <f>SUM(M85:M85)</f>
        <v>10.957796445</v>
      </c>
      <c r="N84" s="17"/>
      <c r="O84" s="1"/>
      <c r="AI84" s="14"/>
      <c r="AS84" s="25">
        <f>SUM(AJ85:AJ85)</f>
        <v>0</v>
      </c>
      <c r="AT84" s="25">
        <f>SUM(AK85:AK85)</f>
        <v>0</v>
      </c>
      <c r="AU84" s="25">
        <f>SUM(AL85:AL85)</f>
        <v>0</v>
      </c>
    </row>
    <row r="85" spans="1:64" ht="12.75">
      <c r="A85" s="60" t="s">
        <v>25</v>
      </c>
      <c r="B85" s="5"/>
      <c r="C85" s="5" t="s">
        <v>187</v>
      </c>
      <c r="D85" s="176" t="s">
        <v>406</v>
      </c>
      <c r="E85" s="177"/>
      <c r="F85" s="5" t="s">
        <v>882</v>
      </c>
      <c r="G85" s="11">
        <v>3.55686</v>
      </c>
      <c r="H85" s="103"/>
      <c r="I85" s="11">
        <f>G85*AO85</f>
        <v>0</v>
      </c>
      <c r="J85" s="11">
        <f>G85*AP85</f>
        <v>0</v>
      </c>
      <c r="K85" s="11">
        <f>G85*H85</f>
        <v>0</v>
      </c>
      <c r="L85" s="11">
        <v>3.08075</v>
      </c>
      <c r="M85" s="11">
        <f>G85*L85</f>
        <v>10.957796445</v>
      </c>
      <c r="N85" s="15" t="s">
        <v>912</v>
      </c>
      <c r="O85" s="1"/>
      <c r="Z85" s="20">
        <f>IF(AQ85="5",BJ85,0)</f>
        <v>0</v>
      </c>
      <c r="AB85" s="20">
        <f>IF(AQ85="1",BH85,0)</f>
        <v>0</v>
      </c>
      <c r="AC85" s="20">
        <f>IF(AQ85="1",BI85,0)</f>
        <v>0</v>
      </c>
      <c r="AD85" s="20">
        <f>IF(AQ85="7",BH85,0)</f>
        <v>0</v>
      </c>
      <c r="AE85" s="20">
        <f>IF(AQ85="7",BI85,0)</f>
        <v>0</v>
      </c>
      <c r="AF85" s="20">
        <f>IF(AQ85="2",BH85,0)</f>
        <v>0</v>
      </c>
      <c r="AG85" s="20">
        <f>IF(AQ85="2",BI85,0)</f>
        <v>0</v>
      </c>
      <c r="AH85" s="20">
        <f>IF(AQ85="0",BJ85,0)</f>
        <v>0</v>
      </c>
      <c r="AI85" s="14"/>
      <c r="AJ85" s="11">
        <f>IF(AN85=0,K85,0)</f>
        <v>0</v>
      </c>
      <c r="AK85" s="11">
        <f>IF(AN85=15,K85,0)</f>
        <v>0</v>
      </c>
      <c r="AL85" s="11">
        <f>IF(AN85=21,K85,0)</f>
        <v>0</v>
      </c>
      <c r="AN85" s="20">
        <v>21</v>
      </c>
      <c r="AO85" s="20">
        <f>H85*0.51032323129033</f>
        <v>0</v>
      </c>
      <c r="AP85" s="20">
        <f>H85*(1-0.51032323129033)</f>
        <v>0</v>
      </c>
      <c r="AQ85" s="21" t="s">
        <v>7</v>
      </c>
      <c r="AV85" s="20">
        <f>AW85+AX85</f>
        <v>0</v>
      </c>
      <c r="AW85" s="20">
        <f>G85*AO85</f>
        <v>0</v>
      </c>
      <c r="AX85" s="20">
        <f>G85*AP85</f>
        <v>0</v>
      </c>
      <c r="AY85" s="23" t="s">
        <v>929</v>
      </c>
      <c r="AZ85" s="23" t="s">
        <v>965</v>
      </c>
      <c r="BA85" s="14" t="s">
        <v>976</v>
      </c>
      <c r="BC85" s="20">
        <f>AW85+AX85</f>
        <v>0</v>
      </c>
      <c r="BD85" s="20">
        <f>H85/(100-BE85)*100</f>
        <v>0</v>
      </c>
      <c r="BE85" s="20">
        <v>0</v>
      </c>
      <c r="BF85" s="20">
        <f>M85</f>
        <v>10.957796445</v>
      </c>
      <c r="BH85" s="11">
        <f>G85*AO85</f>
        <v>0</v>
      </c>
      <c r="BI85" s="11">
        <f>G85*AP85</f>
        <v>0</v>
      </c>
      <c r="BJ85" s="11">
        <f>G85*H85</f>
        <v>0</v>
      </c>
      <c r="BK85" s="11" t="s">
        <v>981</v>
      </c>
      <c r="BL85" s="20">
        <v>43</v>
      </c>
    </row>
    <row r="86" spans="1:15" ht="12.75">
      <c r="A86" s="1"/>
      <c r="D86" s="8" t="s">
        <v>407</v>
      </c>
      <c r="E86" s="9" t="s">
        <v>782</v>
      </c>
      <c r="G86" s="12">
        <v>2.0918</v>
      </c>
      <c r="N86" s="16"/>
      <c r="O86" s="1"/>
    </row>
    <row r="87" spans="1:15" ht="12.75">
      <c r="A87" s="1"/>
      <c r="D87" s="8" t="s">
        <v>408</v>
      </c>
      <c r="E87" s="9" t="s">
        <v>783</v>
      </c>
      <c r="G87" s="12">
        <v>0.8165</v>
      </c>
      <c r="N87" s="16"/>
      <c r="O87" s="1"/>
    </row>
    <row r="88" spans="1:15" ht="12.75">
      <c r="A88" s="1"/>
      <c r="D88" s="8" t="s">
        <v>409</v>
      </c>
      <c r="E88" s="9" t="s">
        <v>784</v>
      </c>
      <c r="G88" s="12">
        <v>0.64856</v>
      </c>
      <c r="N88" s="16"/>
      <c r="O88" s="1"/>
    </row>
    <row r="89" spans="1:47" ht="12.75">
      <c r="A89" s="2"/>
      <c r="B89" s="6"/>
      <c r="C89" s="6" t="s">
        <v>61</v>
      </c>
      <c r="D89" s="174" t="s">
        <v>410</v>
      </c>
      <c r="E89" s="175"/>
      <c r="F89" s="10" t="s">
        <v>6</v>
      </c>
      <c r="G89" s="10" t="s">
        <v>6</v>
      </c>
      <c r="H89" s="10"/>
      <c r="I89" s="25">
        <f>SUM(I90:I96)</f>
        <v>0</v>
      </c>
      <c r="J89" s="25">
        <f>SUM(J90:J96)</f>
        <v>0</v>
      </c>
      <c r="K89" s="25">
        <f>SUM(K90:K96)</f>
        <v>0</v>
      </c>
      <c r="L89" s="14"/>
      <c r="M89" s="25">
        <f>SUM(M90:M96)</f>
        <v>33.820575000000005</v>
      </c>
      <c r="N89" s="17"/>
      <c r="O89" s="1"/>
      <c r="AI89" s="14"/>
      <c r="AS89" s="25">
        <f>SUM(AJ90:AJ96)</f>
        <v>0</v>
      </c>
      <c r="AT89" s="25">
        <f>SUM(AK90:AK96)</f>
        <v>0</v>
      </c>
      <c r="AU89" s="25">
        <f>SUM(AL90:AL96)</f>
        <v>0</v>
      </c>
    </row>
    <row r="90" spans="1:64" ht="12.75">
      <c r="A90" s="60" t="s">
        <v>26</v>
      </c>
      <c r="B90" s="5"/>
      <c r="C90" s="5" t="s">
        <v>188</v>
      </c>
      <c r="D90" s="176" t="s">
        <v>411</v>
      </c>
      <c r="E90" s="177"/>
      <c r="F90" s="5" t="s">
        <v>881</v>
      </c>
      <c r="G90" s="11">
        <v>104.87</v>
      </c>
      <c r="H90" s="103"/>
      <c r="I90" s="11">
        <f>G90*AO90</f>
        <v>0</v>
      </c>
      <c r="J90" s="11">
        <f>G90*AP90</f>
        <v>0</v>
      </c>
      <c r="K90" s="11">
        <f>G90*H90</f>
        <v>0</v>
      </c>
      <c r="L90" s="11">
        <v>0.3225</v>
      </c>
      <c r="M90" s="11">
        <f>G90*L90</f>
        <v>33.820575000000005</v>
      </c>
      <c r="N90" s="15" t="s">
        <v>912</v>
      </c>
      <c r="O90" s="1"/>
      <c r="Z90" s="20">
        <f>IF(AQ90="5",BJ90,0)</f>
        <v>0</v>
      </c>
      <c r="AB90" s="20">
        <f>IF(AQ90="1",BH90,0)</f>
        <v>0</v>
      </c>
      <c r="AC90" s="20">
        <f>IF(AQ90="1",BI90,0)</f>
        <v>0</v>
      </c>
      <c r="AD90" s="20">
        <f>IF(AQ90="7",BH90,0)</f>
        <v>0</v>
      </c>
      <c r="AE90" s="20">
        <f>IF(AQ90="7",BI90,0)</f>
        <v>0</v>
      </c>
      <c r="AF90" s="20">
        <f>IF(AQ90="2",BH90,0)</f>
        <v>0</v>
      </c>
      <c r="AG90" s="20">
        <f>IF(AQ90="2",BI90,0)</f>
        <v>0</v>
      </c>
      <c r="AH90" s="20">
        <f>IF(AQ90="0",BJ90,0)</f>
        <v>0</v>
      </c>
      <c r="AI90" s="14"/>
      <c r="AJ90" s="11">
        <f>IF(AN90=0,K90,0)</f>
        <v>0</v>
      </c>
      <c r="AK90" s="11">
        <f>IF(AN90=15,K90,0)</f>
        <v>0</v>
      </c>
      <c r="AL90" s="11">
        <f>IF(AN90=21,K90,0)</f>
        <v>0</v>
      </c>
      <c r="AN90" s="20">
        <v>21</v>
      </c>
      <c r="AO90" s="20">
        <f>H90*0.829740234221424</f>
        <v>0</v>
      </c>
      <c r="AP90" s="20">
        <f>H90*(1-0.829740234221424)</f>
        <v>0</v>
      </c>
      <c r="AQ90" s="21" t="s">
        <v>7</v>
      </c>
      <c r="AV90" s="20">
        <f>AW90+AX90</f>
        <v>0</v>
      </c>
      <c r="AW90" s="20">
        <f>G90*AO90</f>
        <v>0</v>
      </c>
      <c r="AX90" s="20">
        <f>G90*AP90</f>
        <v>0</v>
      </c>
      <c r="AY90" s="23" t="s">
        <v>930</v>
      </c>
      <c r="AZ90" s="23" t="s">
        <v>966</v>
      </c>
      <c r="BA90" s="14" t="s">
        <v>976</v>
      </c>
      <c r="BC90" s="20">
        <f>AW90+AX90</f>
        <v>0</v>
      </c>
      <c r="BD90" s="20">
        <f>H90/(100-BE90)*100</f>
        <v>0</v>
      </c>
      <c r="BE90" s="20">
        <v>0</v>
      </c>
      <c r="BF90" s="20">
        <f>M90</f>
        <v>33.820575000000005</v>
      </c>
      <c r="BH90" s="11">
        <f>G90*AO90</f>
        <v>0</v>
      </c>
      <c r="BI90" s="11">
        <f>G90*AP90</f>
        <v>0</v>
      </c>
      <c r="BJ90" s="11">
        <f>G90*H90</f>
        <v>0</v>
      </c>
      <c r="BK90" s="11" t="s">
        <v>981</v>
      </c>
      <c r="BL90" s="20">
        <v>56</v>
      </c>
    </row>
    <row r="91" spans="1:15" ht="12.75">
      <c r="A91" s="1"/>
      <c r="D91" s="8" t="s">
        <v>412</v>
      </c>
      <c r="E91" s="9" t="s">
        <v>785</v>
      </c>
      <c r="G91" s="12">
        <v>23.41</v>
      </c>
      <c r="N91" s="16"/>
      <c r="O91" s="1"/>
    </row>
    <row r="92" spans="1:15" ht="12.75">
      <c r="A92" s="1"/>
      <c r="D92" s="8" t="s">
        <v>413</v>
      </c>
      <c r="E92" s="9" t="s">
        <v>786</v>
      </c>
      <c r="G92" s="12">
        <v>24.66</v>
      </c>
      <c r="N92" s="16"/>
      <c r="O92" s="1"/>
    </row>
    <row r="93" spans="1:15" ht="12.75">
      <c r="A93" s="1"/>
      <c r="D93" s="8" t="s">
        <v>414</v>
      </c>
      <c r="E93" s="9" t="s">
        <v>787</v>
      </c>
      <c r="G93" s="12">
        <v>20.53</v>
      </c>
      <c r="N93" s="16"/>
      <c r="O93" s="1"/>
    </row>
    <row r="94" spans="1:15" ht="12.75">
      <c r="A94" s="1"/>
      <c r="D94" s="8" t="s">
        <v>415</v>
      </c>
      <c r="E94" s="9" t="s">
        <v>788</v>
      </c>
      <c r="G94" s="12">
        <v>18.8751</v>
      </c>
      <c r="N94" s="16"/>
      <c r="O94" s="1"/>
    </row>
    <row r="95" spans="1:15" ht="12.75">
      <c r="A95" s="1"/>
      <c r="D95" s="8" t="s">
        <v>416</v>
      </c>
      <c r="E95" s="9" t="s">
        <v>789</v>
      </c>
      <c r="G95" s="12">
        <v>9.15</v>
      </c>
      <c r="N95" s="16"/>
      <c r="O95" s="1"/>
    </row>
    <row r="96" spans="1:15" ht="12.75">
      <c r="A96" s="1"/>
      <c r="D96" s="8" t="s">
        <v>417</v>
      </c>
      <c r="E96" s="9" t="s">
        <v>790</v>
      </c>
      <c r="G96" s="12">
        <v>8.2492</v>
      </c>
      <c r="N96" s="16"/>
      <c r="O96" s="1"/>
    </row>
    <row r="97" spans="1:47" ht="12.75">
      <c r="A97" s="2"/>
      <c r="B97" s="6"/>
      <c r="C97" s="6" t="s">
        <v>64</v>
      </c>
      <c r="D97" s="174" t="s">
        <v>418</v>
      </c>
      <c r="E97" s="175"/>
      <c r="F97" s="10" t="s">
        <v>6</v>
      </c>
      <c r="G97" s="10" t="s">
        <v>6</v>
      </c>
      <c r="H97" s="10"/>
      <c r="I97" s="25">
        <f>SUM(I98:I100)</f>
        <v>0</v>
      </c>
      <c r="J97" s="25">
        <f>SUM(J98:J100)</f>
        <v>0</v>
      </c>
      <c r="K97" s="25">
        <f>SUM(K98:K100)</f>
        <v>0</v>
      </c>
      <c r="L97" s="14"/>
      <c r="M97" s="25">
        <f>SUM(M98:M100)</f>
        <v>1.2858599999999998</v>
      </c>
      <c r="N97" s="17"/>
      <c r="O97" s="1"/>
      <c r="AI97" s="14"/>
      <c r="AS97" s="25">
        <f>SUM(AJ98:AJ100)</f>
        <v>0</v>
      </c>
      <c r="AT97" s="25">
        <f>SUM(AK98:AK100)</f>
        <v>0</v>
      </c>
      <c r="AU97" s="25">
        <f>SUM(AL98:AL100)</f>
        <v>0</v>
      </c>
    </row>
    <row r="98" spans="1:64" ht="12.75">
      <c r="A98" s="60" t="s">
        <v>27</v>
      </c>
      <c r="B98" s="5"/>
      <c r="C98" s="5" t="s">
        <v>189</v>
      </c>
      <c r="D98" s="176" t="s">
        <v>419</v>
      </c>
      <c r="E98" s="177"/>
      <c r="F98" s="5" t="s">
        <v>881</v>
      </c>
      <c r="G98" s="11">
        <v>17.4</v>
      </c>
      <c r="H98" s="103"/>
      <c r="I98" s="11">
        <f>G98*AO98</f>
        <v>0</v>
      </c>
      <c r="J98" s="11">
        <f>G98*AP98</f>
        <v>0</v>
      </c>
      <c r="K98" s="11">
        <f>G98*H98</f>
        <v>0</v>
      </c>
      <c r="L98" s="11">
        <v>0.0739</v>
      </c>
      <c r="M98" s="11">
        <f>G98*L98</f>
        <v>1.2858599999999998</v>
      </c>
      <c r="N98" s="15" t="s">
        <v>912</v>
      </c>
      <c r="O98" s="1"/>
      <c r="Z98" s="20">
        <f>IF(AQ98="5",BJ98,0)</f>
        <v>0</v>
      </c>
      <c r="AB98" s="20">
        <f>IF(AQ98="1",BH98,0)</f>
        <v>0</v>
      </c>
      <c r="AC98" s="20">
        <f>IF(AQ98="1",BI98,0)</f>
        <v>0</v>
      </c>
      <c r="AD98" s="20">
        <f>IF(AQ98="7",BH98,0)</f>
        <v>0</v>
      </c>
      <c r="AE98" s="20">
        <f>IF(AQ98="7",BI98,0)</f>
        <v>0</v>
      </c>
      <c r="AF98" s="20">
        <f>IF(AQ98="2",BH98,0)</f>
        <v>0</v>
      </c>
      <c r="AG98" s="20">
        <f>IF(AQ98="2",BI98,0)</f>
        <v>0</v>
      </c>
      <c r="AH98" s="20">
        <f>IF(AQ98="0",BJ98,0)</f>
        <v>0</v>
      </c>
      <c r="AI98" s="14"/>
      <c r="AJ98" s="11">
        <f>IF(AN98=0,K98,0)</f>
        <v>0</v>
      </c>
      <c r="AK98" s="11">
        <f>IF(AN98=15,K98,0)</f>
        <v>0</v>
      </c>
      <c r="AL98" s="11">
        <f>IF(AN98=21,K98,0)</f>
        <v>0</v>
      </c>
      <c r="AN98" s="20">
        <v>21</v>
      </c>
      <c r="AO98" s="20">
        <f>H98*0.144991389774463</f>
        <v>0</v>
      </c>
      <c r="AP98" s="20">
        <f>H98*(1-0.144991389774463)</f>
        <v>0</v>
      </c>
      <c r="AQ98" s="21" t="s">
        <v>7</v>
      </c>
      <c r="AV98" s="20">
        <f>AW98+AX98</f>
        <v>0</v>
      </c>
      <c r="AW98" s="20">
        <f>G98*AO98</f>
        <v>0</v>
      </c>
      <c r="AX98" s="20">
        <f>G98*AP98</f>
        <v>0</v>
      </c>
      <c r="AY98" s="23" t="s">
        <v>931</v>
      </c>
      <c r="AZ98" s="23" t="s">
        <v>966</v>
      </c>
      <c r="BA98" s="14" t="s">
        <v>976</v>
      </c>
      <c r="BC98" s="20">
        <f>AW98+AX98</f>
        <v>0</v>
      </c>
      <c r="BD98" s="20">
        <f>H98/(100-BE98)*100</f>
        <v>0</v>
      </c>
      <c r="BE98" s="20">
        <v>0</v>
      </c>
      <c r="BF98" s="20">
        <f>M98</f>
        <v>1.2858599999999998</v>
      </c>
      <c r="BH98" s="11">
        <f>G98*AO98</f>
        <v>0</v>
      </c>
      <c r="BI98" s="11">
        <f>G98*AP98</f>
        <v>0</v>
      </c>
      <c r="BJ98" s="11">
        <f>G98*H98</f>
        <v>0</v>
      </c>
      <c r="BK98" s="11" t="s">
        <v>981</v>
      </c>
      <c r="BL98" s="20">
        <v>59</v>
      </c>
    </row>
    <row r="99" spans="1:15" ht="12.75">
      <c r="A99" s="1"/>
      <c r="D99" s="8" t="s">
        <v>416</v>
      </c>
      <c r="E99" s="9" t="s">
        <v>791</v>
      </c>
      <c r="G99" s="12">
        <v>9.15</v>
      </c>
      <c r="N99" s="16"/>
      <c r="O99" s="1"/>
    </row>
    <row r="100" spans="1:15" ht="12.75">
      <c r="A100" s="1"/>
      <c r="D100" s="8" t="s">
        <v>417</v>
      </c>
      <c r="E100" s="9" t="s">
        <v>792</v>
      </c>
      <c r="G100" s="12">
        <v>8.2492</v>
      </c>
      <c r="N100" s="16"/>
      <c r="O100" s="1"/>
    </row>
    <row r="101" spans="1:47" ht="12.75">
      <c r="A101" s="2"/>
      <c r="B101" s="6"/>
      <c r="C101" s="6" t="s">
        <v>65</v>
      </c>
      <c r="D101" s="174" t="s">
        <v>420</v>
      </c>
      <c r="E101" s="175"/>
      <c r="F101" s="10" t="s">
        <v>6</v>
      </c>
      <c r="G101" s="10" t="s">
        <v>6</v>
      </c>
      <c r="H101" s="10"/>
      <c r="I101" s="25">
        <f>SUM(I102:I119)</f>
        <v>0</v>
      </c>
      <c r="J101" s="25">
        <f>SUM(J102:J119)</f>
        <v>0</v>
      </c>
      <c r="K101" s="25">
        <f>SUM(K102:K119)</f>
        <v>0</v>
      </c>
      <c r="L101" s="14"/>
      <c r="M101" s="25">
        <f>SUM(M102:M119)</f>
        <v>0.5722847</v>
      </c>
      <c r="N101" s="17"/>
      <c r="O101" s="1"/>
      <c r="AI101" s="14"/>
      <c r="AS101" s="25">
        <f>SUM(AJ102:AJ119)</f>
        <v>0</v>
      </c>
      <c r="AT101" s="25">
        <f>SUM(AK102:AK119)</f>
        <v>0</v>
      </c>
      <c r="AU101" s="25">
        <f>SUM(AL102:AL119)</f>
        <v>0</v>
      </c>
    </row>
    <row r="102" spans="1:64" ht="12.75">
      <c r="A102" s="60" t="s">
        <v>28</v>
      </c>
      <c r="B102" s="5"/>
      <c r="C102" s="5" t="s">
        <v>190</v>
      </c>
      <c r="D102" s="159" t="s">
        <v>421</v>
      </c>
      <c r="E102" s="150"/>
      <c r="F102" s="5" t="s">
        <v>881</v>
      </c>
      <c r="G102" s="11">
        <v>647.4</v>
      </c>
      <c r="H102" s="103"/>
      <c r="I102" s="11">
        <f>G102*AO102</f>
        <v>0</v>
      </c>
      <c r="J102" s="11">
        <f>G102*AP102</f>
        <v>0</v>
      </c>
      <c r="K102" s="11">
        <f>G102*H102</f>
        <v>0</v>
      </c>
      <c r="L102" s="11">
        <v>0.00032</v>
      </c>
      <c r="M102" s="11">
        <f>G102*L102</f>
        <v>0.20716800000000002</v>
      </c>
      <c r="N102" s="15" t="s">
        <v>912</v>
      </c>
      <c r="O102" s="1"/>
      <c r="Z102" s="20">
        <f>IF(AQ102="5",BJ102,0)</f>
        <v>0</v>
      </c>
      <c r="AB102" s="20">
        <f>IF(AQ102="1",BH102,0)</f>
        <v>0</v>
      </c>
      <c r="AC102" s="20">
        <f>IF(AQ102="1",BI102,0)</f>
        <v>0</v>
      </c>
      <c r="AD102" s="20">
        <f>IF(AQ102="7",BH102,0)</f>
        <v>0</v>
      </c>
      <c r="AE102" s="20">
        <f>IF(AQ102="7",BI102,0)</f>
        <v>0</v>
      </c>
      <c r="AF102" s="20">
        <f>IF(AQ102="2",BH102,0)</f>
        <v>0</v>
      </c>
      <c r="AG102" s="20">
        <f>IF(AQ102="2",BI102,0)</f>
        <v>0</v>
      </c>
      <c r="AH102" s="20">
        <f>IF(AQ102="0",BJ102,0)</f>
        <v>0</v>
      </c>
      <c r="AI102" s="14"/>
      <c r="AJ102" s="11">
        <f>IF(AN102=0,K102,0)</f>
        <v>0</v>
      </c>
      <c r="AK102" s="11">
        <f>IF(AN102=15,K102,0)</f>
        <v>0</v>
      </c>
      <c r="AL102" s="11">
        <f>IF(AN102=21,K102,0)</f>
        <v>0</v>
      </c>
      <c r="AN102" s="20">
        <v>21</v>
      </c>
      <c r="AO102" s="20">
        <f>H102*0.489402981719635</f>
        <v>0</v>
      </c>
      <c r="AP102" s="20">
        <f>H102*(1-0.489402981719635)</f>
        <v>0</v>
      </c>
      <c r="AQ102" s="21" t="s">
        <v>7</v>
      </c>
      <c r="AV102" s="20">
        <f>AW102+AX102</f>
        <v>0</v>
      </c>
      <c r="AW102" s="20">
        <f>G102*AO102</f>
        <v>0</v>
      </c>
      <c r="AX102" s="20">
        <f>G102*AP102</f>
        <v>0</v>
      </c>
      <c r="AY102" s="23" t="s">
        <v>932</v>
      </c>
      <c r="AZ102" s="23" t="s">
        <v>967</v>
      </c>
      <c r="BA102" s="14" t="s">
        <v>976</v>
      </c>
      <c r="BC102" s="20">
        <f>AW102+AX102</f>
        <v>0</v>
      </c>
      <c r="BD102" s="20">
        <f>H102/(100-BE102)*100</f>
        <v>0</v>
      </c>
      <c r="BE102" s="20">
        <v>0</v>
      </c>
      <c r="BF102" s="20">
        <f>M102</f>
        <v>0.20716800000000002</v>
      </c>
      <c r="BH102" s="11">
        <f>G102*AO102</f>
        <v>0</v>
      </c>
      <c r="BI102" s="11">
        <f>G102*AP102</f>
        <v>0</v>
      </c>
      <c r="BJ102" s="11">
        <f>G102*H102</f>
        <v>0</v>
      </c>
      <c r="BK102" s="11" t="s">
        <v>981</v>
      </c>
      <c r="BL102" s="20">
        <v>60</v>
      </c>
    </row>
    <row r="103" spans="1:15" ht="12.75">
      <c r="A103" s="1"/>
      <c r="D103" s="63" t="s">
        <v>1040</v>
      </c>
      <c r="E103" s="63" t="s">
        <v>793</v>
      </c>
      <c r="G103" s="12">
        <v>698.1</v>
      </c>
      <c r="N103" s="16"/>
      <c r="O103" s="1"/>
    </row>
    <row r="104" spans="1:15" ht="12.75">
      <c r="A104" s="1"/>
      <c r="D104" s="63" t="s">
        <v>422</v>
      </c>
      <c r="E104" s="63" t="s">
        <v>794</v>
      </c>
      <c r="G104" s="12">
        <v>-50.7</v>
      </c>
      <c r="N104" s="16"/>
      <c r="O104" s="1"/>
    </row>
    <row r="105" spans="1:64" ht="12.75">
      <c r="A105" s="60" t="s">
        <v>29</v>
      </c>
      <c r="B105" s="5"/>
      <c r="C105" s="5" t="s">
        <v>191</v>
      </c>
      <c r="D105" s="159" t="s">
        <v>423</v>
      </c>
      <c r="E105" s="150"/>
      <c r="F105" s="5" t="s">
        <v>881</v>
      </c>
      <c r="G105" s="11">
        <v>647.4</v>
      </c>
      <c r="H105" s="103"/>
      <c r="I105" s="11">
        <f>G105*AO105</f>
        <v>0</v>
      </c>
      <c r="J105" s="11">
        <f>G105*AP105</f>
        <v>0</v>
      </c>
      <c r="K105" s="11">
        <f>G105*H105</f>
        <v>0</v>
      </c>
      <c r="L105" s="11">
        <v>0.0003</v>
      </c>
      <c r="M105" s="11">
        <f>G105*L105</f>
        <v>0.19421999999999998</v>
      </c>
      <c r="N105" s="15" t="s">
        <v>912</v>
      </c>
      <c r="O105" s="1"/>
      <c r="Z105" s="20">
        <f>IF(AQ105="5",BJ105,0)</f>
        <v>0</v>
      </c>
      <c r="AB105" s="20">
        <f>IF(AQ105="1",BH105,0)</f>
        <v>0</v>
      </c>
      <c r="AC105" s="20">
        <f>IF(AQ105="1",BI105,0)</f>
        <v>0</v>
      </c>
      <c r="AD105" s="20">
        <f>IF(AQ105="7",BH105,0)</f>
        <v>0</v>
      </c>
      <c r="AE105" s="20">
        <f>IF(AQ105="7",BI105,0)</f>
        <v>0</v>
      </c>
      <c r="AF105" s="20">
        <f>IF(AQ105="2",BH105,0)</f>
        <v>0</v>
      </c>
      <c r="AG105" s="20">
        <f>IF(AQ105="2",BI105,0)</f>
        <v>0</v>
      </c>
      <c r="AH105" s="20">
        <f>IF(AQ105="0",BJ105,0)</f>
        <v>0</v>
      </c>
      <c r="AI105" s="14"/>
      <c r="AJ105" s="11">
        <f>IF(AN105=0,K105,0)</f>
        <v>0</v>
      </c>
      <c r="AK105" s="11">
        <f>IF(AN105=15,K105,0)</f>
        <v>0</v>
      </c>
      <c r="AL105" s="11">
        <f>IF(AN105=21,K105,0)</f>
        <v>0</v>
      </c>
      <c r="AN105" s="20">
        <v>21</v>
      </c>
      <c r="AO105" s="20">
        <f>H105*0.402966937256755</f>
        <v>0</v>
      </c>
      <c r="AP105" s="20">
        <f>H105*(1-0.402966937256755)</f>
        <v>0</v>
      </c>
      <c r="AQ105" s="21" t="s">
        <v>7</v>
      </c>
      <c r="AV105" s="20">
        <f>AW105+AX105</f>
        <v>0</v>
      </c>
      <c r="AW105" s="20">
        <f>G105*AO105</f>
        <v>0</v>
      </c>
      <c r="AX105" s="20">
        <f>G105*AP105</f>
        <v>0</v>
      </c>
      <c r="AY105" s="23" t="s">
        <v>932</v>
      </c>
      <c r="AZ105" s="23" t="s">
        <v>967</v>
      </c>
      <c r="BA105" s="14" t="s">
        <v>976</v>
      </c>
      <c r="BC105" s="20">
        <f>AW105+AX105</f>
        <v>0</v>
      </c>
      <c r="BD105" s="20">
        <f>H105/(100-BE105)*100</f>
        <v>0</v>
      </c>
      <c r="BE105" s="20">
        <v>0</v>
      </c>
      <c r="BF105" s="20">
        <f>M105</f>
        <v>0.19421999999999998</v>
      </c>
      <c r="BH105" s="11">
        <f>G105*AO105</f>
        <v>0</v>
      </c>
      <c r="BI105" s="11">
        <f>G105*AP105</f>
        <v>0</v>
      </c>
      <c r="BJ105" s="11">
        <f>G105*H105</f>
        <v>0</v>
      </c>
      <c r="BK105" s="11" t="s">
        <v>981</v>
      </c>
      <c r="BL105" s="20">
        <v>60</v>
      </c>
    </row>
    <row r="106" spans="1:15" ht="12.75">
      <c r="A106" s="1"/>
      <c r="D106" s="96" t="s">
        <v>1041</v>
      </c>
      <c r="E106" s="98" t="s">
        <v>1042</v>
      </c>
      <c r="G106" s="12">
        <v>78.56548</v>
      </c>
      <c r="N106" s="16"/>
      <c r="O106" s="1"/>
    </row>
    <row r="107" spans="1:15" ht="12.75">
      <c r="A107" s="1"/>
      <c r="D107" s="8" t="s">
        <v>424</v>
      </c>
      <c r="E107" s="9" t="s">
        <v>794</v>
      </c>
      <c r="G107" s="12">
        <v>-5.07</v>
      </c>
      <c r="N107" s="16"/>
      <c r="O107" s="1"/>
    </row>
    <row r="108" spans="1:64" ht="12.75">
      <c r="A108" s="60" t="s">
        <v>30</v>
      </c>
      <c r="B108" s="5"/>
      <c r="C108" s="5" t="s">
        <v>192</v>
      </c>
      <c r="D108" s="159" t="s">
        <v>423</v>
      </c>
      <c r="E108" s="150"/>
      <c r="F108" s="5" t="s">
        <v>881</v>
      </c>
      <c r="G108" s="11">
        <v>608.17</v>
      </c>
      <c r="H108" s="103"/>
      <c r="I108" s="11">
        <f>G108*AO108</f>
        <v>0</v>
      </c>
      <c r="J108" s="11">
        <f>G108*AP108</f>
        <v>0</v>
      </c>
      <c r="K108" s="11">
        <f>G108*H108</f>
        <v>0</v>
      </c>
      <c r="L108" s="11">
        <v>0.00023</v>
      </c>
      <c r="M108" s="11">
        <f>G108*L108</f>
        <v>0.1398791</v>
      </c>
      <c r="N108" s="15" t="s">
        <v>912</v>
      </c>
      <c r="O108" s="1"/>
      <c r="Z108" s="20">
        <f>IF(AQ108="5",BJ108,0)</f>
        <v>0</v>
      </c>
      <c r="AB108" s="20">
        <f>IF(AQ108="1",BH108,0)</f>
        <v>0</v>
      </c>
      <c r="AC108" s="20">
        <f>IF(AQ108="1",BI108,0)</f>
        <v>0</v>
      </c>
      <c r="AD108" s="20">
        <f>IF(AQ108="7",BH108,0)</f>
        <v>0</v>
      </c>
      <c r="AE108" s="20">
        <f>IF(AQ108="7",BI108,0)</f>
        <v>0</v>
      </c>
      <c r="AF108" s="20">
        <f>IF(AQ108="2",BH108,0)</f>
        <v>0</v>
      </c>
      <c r="AG108" s="20">
        <f>IF(AQ108="2",BI108,0)</f>
        <v>0</v>
      </c>
      <c r="AH108" s="20">
        <f>IF(AQ108="0",BJ108,0)</f>
        <v>0</v>
      </c>
      <c r="AI108" s="14"/>
      <c r="AJ108" s="11">
        <f>IF(AN108=0,K108,0)</f>
        <v>0</v>
      </c>
      <c r="AK108" s="11">
        <f>IF(AN108=15,K108,0)</f>
        <v>0</v>
      </c>
      <c r="AL108" s="11">
        <f>IF(AN108=21,K108,0)</f>
        <v>0</v>
      </c>
      <c r="AN108" s="20">
        <v>21</v>
      </c>
      <c r="AO108" s="20">
        <f>H108*0.486336289402074</f>
        <v>0</v>
      </c>
      <c r="AP108" s="20">
        <f>H108*(1-0.486336289402074)</f>
        <v>0</v>
      </c>
      <c r="AQ108" s="21" t="s">
        <v>7</v>
      </c>
      <c r="AV108" s="20">
        <f>AW108+AX108</f>
        <v>0</v>
      </c>
      <c r="AW108" s="20">
        <f>G108*AO108</f>
        <v>0</v>
      </c>
      <c r="AX108" s="20">
        <f>G108*AP108</f>
        <v>0</v>
      </c>
      <c r="AY108" s="23" t="s">
        <v>932</v>
      </c>
      <c r="AZ108" s="23" t="s">
        <v>967</v>
      </c>
      <c r="BA108" s="14" t="s">
        <v>976</v>
      </c>
      <c r="BC108" s="20">
        <f>AW108+AX108</f>
        <v>0</v>
      </c>
      <c r="BD108" s="20">
        <f>H108/(100-BE108)*100</f>
        <v>0</v>
      </c>
      <c r="BE108" s="20">
        <v>0</v>
      </c>
      <c r="BF108" s="20">
        <f>M108</f>
        <v>0.1398791</v>
      </c>
      <c r="BH108" s="11">
        <f>G108*AO108</f>
        <v>0</v>
      </c>
      <c r="BI108" s="11">
        <f>G108*AP108</f>
        <v>0</v>
      </c>
      <c r="BJ108" s="11">
        <f>G108*H108</f>
        <v>0</v>
      </c>
      <c r="BK108" s="11" t="s">
        <v>981</v>
      </c>
      <c r="BL108" s="20">
        <v>60</v>
      </c>
    </row>
    <row r="109" spans="1:15" ht="12.75">
      <c r="A109" s="1"/>
      <c r="D109" s="8" t="s">
        <v>425</v>
      </c>
      <c r="E109" s="9" t="s">
        <v>795</v>
      </c>
      <c r="G109" s="12">
        <v>298.2355</v>
      </c>
      <c r="N109" s="16"/>
      <c r="O109" s="1"/>
    </row>
    <row r="110" spans="1:15" ht="12.75">
      <c r="A110" s="1"/>
      <c r="D110" s="8" t="s">
        <v>426</v>
      </c>
      <c r="E110" s="9" t="s">
        <v>796</v>
      </c>
      <c r="G110" s="12">
        <v>35.245</v>
      </c>
      <c r="N110" s="16"/>
      <c r="O110" s="1"/>
    </row>
    <row r="111" spans="1:15" ht="12.75">
      <c r="A111" s="1"/>
      <c r="D111" s="8" t="s">
        <v>427</v>
      </c>
      <c r="E111" s="9" t="s">
        <v>797</v>
      </c>
      <c r="G111" s="12">
        <v>311.8382</v>
      </c>
      <c r="N111" s="16"/>
      <c r="O111" s="1"/>
    </row>
    <row r="112" spans="1:15" ht="12.75">
      <c r="A112" s="1"/>
      <c r="D112" s="8" t="s">
        <v>428</v>
      </c>
      <c r="E112" s="9" t="s">
        <v>798</v>
      </c>
      <c r="G112" s="12">
        <v>36.281</v>
      </c>
      <c r="N112" s="16"/>
      <c r="O112" s="1"/>
    </row>
    <row r="113" spans="1:15" ht="12.75">
      <c r="A113" s="1"/>
      <c r="D113" s="8" t="s">
        <v>429</v>
      </c>
      <c r="E113" s="9" t="s">
        <v>799</v>
      </c>
      <c r="G113" s="12">
        <v>16.667</v>
      </c>
      <c r="N113" s="16"/>
      <c r="O113" s="1"/>
    </row>
    <row r="114" spans="1:15" ht="12.75">
      <c r="A114" s="1"/>
      <c r="D114" s="8" t="s">
        <v>430</v>
      </c>
      <c r="E114" s="9" t="s">
        <v>800</v>
      </c>
      <c r="G114" s="12">
        <v>146.84</v>
      </c>
      <c r="N114" s="16"/>
      <c r="O114" s="1"/>
    </row>
    <row r="115" spans="1:15" ht="12.75">
      <c r="A115" s="1"/>
      <c r="D115" s="8" t="s">
        <v>431</v>
      </c>
      <c r="E115" s="9" t="s">
        <v>801</v>
      </c>
      <c r="G115" s="12">
        <v>-81.217</v>
      </c>
      <c r="N115" s="16"/>
      <c r="O115" s="1"/>
    </row>
    <row r="116" spans="1:15" ht="12.75">
      <c r="A116" s="1"/>
      <c r="D116" s="8" t="s">
        <v>432</v>
      </c>
      <c r="E116" s="9" t="s">
        <v>802</v>
      </c>
      <c r="G116" s="12">
        <v>-77.665</v>
      </c>
      <c r="N116" s="16"/>
      <c r="O116" s="1"/>
    </row>
    <row r="117" spans="1:15" ht="12.75">
      <c r="A117" s="1"/>
      <c r="D117" s="8" t="s">
        <v>433</v>
      </c>
      <c r="E117" s="9" t="s">
        <v>803</v>
      </c>
      <c r="G117" s="12">
        <v>-27.35663</v>
      </c>
      <c r="N117" s="16"/>
      <c r="O117" s="1"/>
    </row>
    <row r="118" spans="1:15" ht="12.75">
      <c r="A118" s="1"/>
      <c r="D118" s="8" t="s">
        <v>422</v>
      </c>
      <c r="E118" s="9" t="s">
        <v>794</v>
      </c>
      <c r="G118" s="12">
        <v>-50.7</v>
      </c>
      <c r="N118" s="16"/>
      <c r="O118" s="1"/>
    </row>
    <row r="119" spans="1:64" ht="12.75">
      <c r="A119" s="60" t="s">
        <v>31</v>
      </c>
      <c r="B119" s="5"/>
      <c r="C119" s="5" t="s">
        <v>193</v>
      </c>
      <c r="D119" s="176" t="s">
        <v>434</v>
      </c>
      <c r="E119" s="177"/>
      <c r="F119" s="5" t="s">
        <v>881</v>
      </c>
      <c r="G119" s="11">
        <v>96.93</v>
      </c>
      <c r="H119" s="103"/>
      <c r="I119" s="11">
        <f>G119*AO119</f>
        <v>0</v>
      </c>
      <c r="J119" s="11">
        <f>G119*AP119</f>
        <v>0</v>
      </c>
      <c r="K119" s="11">
        <f>G119*H119</f>
        <v>0</v>
      </c>
      <c r="L119" s="11">
        <v>0.00032</v>
      </c>
      <c r="M119" s="11">
        <f>G119*L119</f>
        <v>0.031017600000000006</v>
      </c>
      <c r="N119" s="15" t="s">
        <v>913</v>
      </c>
      <c r="O119" s="1"/>
      <c r="Z119" s="20">
        <f>IF(AQ119="5",BJ119,0)</f>
        <v>0</v>
      </c>
      <c r="AB119" s="20">
        <f>IF(AQ119="1",BH119,0)</f>
        <v>0</v>
      </c>
      <c r="AC119" s="20">
        <f>IF(AQ119="1",BI119,0)</f>
        <v>0</v>
      </c>
      <c r="AD119" s="20">
        <f>IF(AQ119="7",BH119,0)</f>
        <v>0</v>
      </c>
      <c r="AE119" s="20">
        <f>IF(AQ119="7",BI119,0)</f>
        <v>0</v>
      </c>
      <c r="AF119" s="20">
        <f>IF(AQ119="2",BH119,0)</f>
        <v>0</v>
      </c>
      <c r="AG119" s="20">
        <f>IF(AQ119="2",BI119,0)</f>
        <v>0</v>
      </c>
      <c r="AH119" s="20">
        <f>IF(AQ119="0",BJ119,0)</f>
        <v>0</v>
      </c>
      <c r="AI119" s="14"/>
      <c r="AJ119" s="11">
        <f>IF(AN119=0,K119,0)</f>
        <v>0</v>
      </c>
      <c r="AK119" s="11">
        <f>IF(AN119=15,K119,0)</f>
        <v>0</v>
      </c>
      <c r="AL119" s="11">
        <f>IF(AN119=21,K119,0)</f>
        <v>0</v>
      </c>
      <c r="AN119" s="20">
        <v>21</v>
      </c>
      <c r="AO119" s="20">
        <f>H119*0.400565564137129</f>
        <v>0</v>
      </c>
      <c r="AP119" s="20">
        <f>H119*(1-0.400565564137129)</f>
        <v>0</v>
      </c>
      <c r="AQ119" s="21" t="s">
        <v>7</v>
      </c>
      <c r="AV119" s="20">
        <f>AW119+AX119</f>
        <v>0</v>
      </c>
      <c r="AW119" s="20">
        <f>G119*AO119</f>
        <v>0</v>
      </c>
      <c r="AX119" s="20">
        <f>G119*AP119</f>
        <v>0</v>
      </c>
      <c r="AY119" s="23" t="s">
        <v>932</v>
      </c>
      <c r="AZ119" s="23" t="s">
        <v>967</v>
      </c>
      <c r="BA119" s="14" t="s">
        <v>976</v>
      </c>
      <c r="BC119" s="20">
        <f>AW119+AX119</f>
        <v>0</v>
      </c>
      <c r="BD119" s="20">
        <f>H119/(100-BE119)*100</f>
        <v>0</v>
      </c>
      <c r="BE119" s="20">
        <v>0</v>
      </c>
      <c r="BF119" s="20">
        <f>M119</f>
        <v>0.031017600000000006</v>
      </c>
      <c r="BH119" s="11">
        <f>G119*AO119</f>
        <v>0</v>
      </c>
      <c r="BI119" s="11">
        <f>G119*AP119</f>
        <v>0</v>
      </c>
      <c r="BJ119" s="11">
        <f>G119*H119</f>
        <v>0</v>
      </c>
      <c r="BK119" s="11" t="s">
        <v>981</v>
      </c>
      <c r="BL119" s="20">
        <v>60</v>
      </c>
    </row>
    <row r="120" spans="1:15" ht="12.75">
      <c r="A120" s="1"/>
      <c r="D120" s="8" t="s">
        <v>426</v>
      </c>
      <c r="E120" s="9" t="s">
        <v>796</v>
      </c>
      <c r="G120" s="12">
        <v>35.245</v>
      </c>
      <c r="N120" s="16"/>
      <c r="O120" s="1"/>
    </row>
    <row r="121" spans="1:15" ht="12.75">
      <c r="A121" s="1"/>
      <c r="D121" s="8" t="s">
        <v>428</v>
      </c>
      <c r="E121" s="9" t="s">
        <v>798</v>
      </c>
      <c r="G121" s="12">
        <v>36.281</v>
      </c>
      <c r="N121" s="16"/>
      <c r="O121" s="1"/>
    </row>
    <row r="122" spans="1:15" ht="12.75">
      <c r="A122" s="1"/>
      <c r="D122" s="8" t="s">
        <v>429</v>
      </c>
      <c r="E122" s="9" t="s">
        <v>799</v>
      </c>
      <c r="G122" s="12">
        <v>16.667</v>
      </c>
      <c r="N122" s="16"/>
      <c r="O122" s="1"/>
    </row>
    <row r="123" spans="1:15" ht="12.75">
      <c r="A123" s="1"/>
      <c r="D123" s="63" t="s">
        <v>435</v>
      </c>
      <c r="E123" s="63" t="s">
        <v>804</v>
      </c>
      <c r="G123" s="12">
        <v>8.736</v>
      </c>
      <c r="N123" s="16"/>
      <c r="O123" s="1"/>
    </row>
    <row r="124" spans="1:47" ht="12.75">
      <c r="A124" s="2"/>
      <c r="B124" s="6"/>
      <c r="C124" s="6" t="s">
        <v>67</v>
      </c>
      <c r="D124" s="174" t="s">
        <v>436</v>
      </c>
      <c r="E124" s="175"/>
      <c r="F124" s="10" t="s">
        <v>6</v>
      </c>
      <c r="G124" s="10" t="s">
        <v>6</v>
      </c>
      <c r="H124" s="10"/>
      <c r="I124" s="25">
        <f>SUM(I125:I295)</f>
        <v>0</v>
      </c>
      <c r="J124" s="25">
        <f>SUM(J125:J295)</f>
        <v>0</v>
      </c>
      <c r="K124" s="25">
        <f>SUM(K125:K295)</f>
        <v>0</v>
      </c>
      <c r="L124" s="14"/>
      <c r="M124" s="25">
        <f>SUM(M125:M295)</f>
        <v>68.72923415199999</v>
      </c>
      <c r="N124" s="17"/>
      <c r="O124" s="1"/>
      <c r="AI124" s="14"/>
      <c r="AS124" s="25">
        <f>SUM(AJ125:AJ295)</f>
        <v>0</v>
      </c>
      <c r="AT124" s="25">
        <f>SUM(AK125:AK295)</f>
        <v>0</v>
      </c>
      <c r="AU124" s="25">
        <f>SUM(AL125:AL295)</f>
        <v>0</v>
      </c>
    </row>
    <row r="125" spans="1:64" ht="12.75">
      <c r="A125" s="60" t="s">
        <v>32</v>
      </c>
      <c r="B125" s="5"/>
      <c r="C125" s="5" t="s">
        <v>194</v>
      </c>
      <c r="D125" s="176" t="s">
        <v>437</v>
      </c>
      <c r="E125" s="177"/>
      <c r="F125" s="5" t="s">
        <v>881</v>
      </c>
      <c r="G125" s="11">
        <v>666.05</v>
      </c>
      <c r="H125" s="103"/>
      <c r="I125" s="11">
        <f>G125*AO125</f>
        <v>0</v>
      </c>
      <c r="J125" s="11">
        <f>G125*AP125</f>
        <v>0</v>
      </c>
      <c r="K125" s="11">
        <f>G125*H125</f>
        <v>0</v>
      </c>
      <c r="L125" s="11">
        <v>2E-05</v>
      </c>
      <c r="M125" s="11">
        <f>G125*L125</f>
        <v>0.013321</v>
      </c>
      <c r="N125" s="15" t="s">
        <v>912</v>
      </c>
      <c r="O125" s="1"/>
      <c r="Z125" s="20">
        <f>IF(AQ125="5",BJ125,0)</f>
        <v>0</v>
      </c>
      <c r="AB125" s="20">
        <f>IF(AQ125="1",BH125,0)</f>
        <v>0</v>
      </c>
      <c r="AC125" s="20">
        <f>IF(AQ125="1",BI125,0)</f>
        <v>0</v>
      </c>
      <c r="AD125" s="20">
        <f>IF(AQ125="7",BH125,0)</f>
        <v>0</v>
      </c>
      <c r="AE125" s="20">
        <f>IF(AQ125="7",BI125,0)</f>
        <v>0</v>
      </c>
      <c r="AF125" s="20">
        <f>IF(AQ125="2",BH125,0)</f>
        <v>0</v>
      </c>
      <c r="AG125" s="20">
        <f>IF(AQ125="2",BI125,0)</f>
        <v>0</v>
      </c>
      <c r="AH125" s="20">
        <f>IF(AQ125="0",BJ125,0)</f>
        <v>0</v>
      </c>
      <c r="AI125" s="14"/>
      <c r="AJ125" s="11">
        <f>IF(AN125=0,K125,0)</f>
        <v>0</v>
      </c>
      <c r="AK125" s="11">
        <f>IF(AN125=15,K125,0)</f>
        <v>0</v>
      </c>
      <c r="AL125" s="11">
        <f>IF(AN125=21,K125,0)</f>
        <v>0</v>
      </c>
      <c r="AN125" s="20">
        <v>21</v>
      </c>
      <c r="AO125" s="20">
        <f>H125*0.0666774062078296</f>
        <v>0</v>
      </c>
      <c r="AP125" s="20">
        <f>H125*(1-0.0666774062078296)</f>
        <v>0</v>
      </c>
      <c r="AQ125" s="21" t="s">
        <v>7</v>
      </c>
      <c r="AV125" s="20">
        <f>AW125+AX125</f>
        <v>0</v>
      </c>
      <c r="AW125" s="20">
        <f>G125*AO125</f>
        <v>0</v>
      </c>
      <c r="AX125" s="20">
        <f>G125*AP125</f>
        <v>0</v>
      </c>
      <c r="AY125" s="23" t="s">
        <v>933</v>
      </c>
      <c r="AZ125" s="23" t="s">
        <v>967</v>
      </c>
      <c r="BA125" s="14" t="s">
        <v>976</v>
      </c>
      <c r="BC125" s="20">
        <f>AW125+AX125</f>
        <v>0</v>
      </c>
      <c r="BD125" s="20">
        <f>H125/(100-BE125)*100</f>
        <v>0</v>
      </c>
      <c r="BE125" s="20">
        <v>0</v>
      </c>
      <c r="BF125" s="20">
        <f>M125</f>
        <v>0.013321</v>
      </c>
      <c r="BH125" s="11">
        <f>G125*AO125</f>
        <v>0</v>
      </c>
      <c r="BI125" s="11">
        <f>G125*AP125</f>
        <v>0</v>
      </c>
      <c r="BJ125" s="11">
        <f>G125*H125</f>
        <v>0</v>
      </c>
      <c r="BK125" s="11" t="s">
        <v>981</v>
      </c>
      <c r="BL125" s="20">
        <v>62</v>
      </c>
    </row>
    <row r="126" spans="1:15" ht="12.75">
      <c r="A126" s="1"/>
      <c r="D126" s="8" t="s">
        <v>425</v>
      </c>
      <c r="E126" s="9" t="s">
        <v>795</v>
      </c>
      <c r="G126" s="12">
        <v>298.2355</v>
      </c>
      <c r="N126" s="16"/>
      <c r="O126" s="1"/>
    </row>
    <row r="127" spans="1:15" ht="12.75">
      <c r="A127" s="1"/>
      <c r="D127" s="8" t="s">
        <v>438</v>
      </c>
      <c r="E127" s="9" t="s">
        <v>805</v>
      </c>
      <c r="G127" s="12">
        <v>8.4222</v>
      </c>
      <c r="N127" s="16"/>
      <c r="O127" s="1"/>
    </row>
    <row r="128" spans="1:15" ht="12.75">
      <c r="A128" s="1"/>
      <c r="D128" s="8" t="s">
        <v>439</v>
      </c>
      <c r="E128" s="9" t="s">
        <v>806</v>
      </c>
      <c r="G128" s="12">
        <v>5.1822</v>
      </c>
      <c r="N128" s="16"/>
      <c r="O128" s="1"/>
    </row>
    <row r="129" spans="1:15" ht="12.75">
      <c r="A129" s="1"/>
      <c r="D129" s="8" t="s">
        <v>440</v>
      </c>
      <c r="E129" s="9" t="s">
        <v>807</v>
      </c>
      <c r="G129" s="12">
        <v>6.6132</v>
      </c>
      <c r="N129" s="16"/>
      <c r="O129" s="1"/>
    </row>
    <row r="130" spans="1:15" ht="12.75">
      <c r="A130" s="1"/>
      <c r="D130" s="8" t="s">
        <v>426</v>
      </c>
      <c r="E130" s="9" t="s">
        <v>796</v>
      </c>
      <c r="G130" s="12">
        <v>35.245</v>
      </c>
      <c r="N130" s="16"/>
      <c r="O130" s="1"/>
    </row>
    <row r="131" spans="1:15" ht="12.75">
      <c r="A131" s="1"/>
      <c r="D131" s="8" t="s">
        <v>427</v>
      </c>
      <c r="E131" s="9" t="s">
        <v>797</v>
      </c>
      <c r="G131" s="12">
        <v>311.8382</v>
      </c>
      <c r="N131" s="16"/>
      <c r="O131" s="1"/>
    </row>
    <row r="132" spans="1:15" ht="12.75">
      <c r="A132" s="1"/>
      <c r="D132" s="8" t="s">
        <v>441</v>
      </c>
      <c r="E132" s="9" t="s">
        <v>808</v>
      </c>
      <c r="G132" s="12">
        <v>7.7076</v>
      </c>
      <c r="N132" s="16"/>
      <c r="O132" s="1"/>
    </row>
    <row r="133" spans="1:15" ht="12.75">
      <c r="A133" s="1"/>
      <c r="D133" s="8" t="s">
        <v>428</v>
      </c>
      <c r="E133" s="9" t="s">
        <v>798</v>
      </c>
      <c r="G133" s="12">
        <v>36.281</v>
      </c>
      <c r="N133" s="16"/>
      <c r="O133" s="1"/>
    </row>
    <row r="134" spans="1:15" ht="12.75">
      <c r="A134" s="1"/>
      <c r="D134" s="8" t="s">
        <v>442</v>
      </c>
      <c r="E134" s="9" t="s">
        <v>809</v>
      </c>
      <c r="G134" s="12">
        <v>14.1444</v>
      </c>
      <c r="N134" s="16"/>
      <c r="O134" s="1"/>
    </row>
    <row r="135" spans="1:15" ht="12.75">
      <c r="A135" s="1"/>
      <c r="D135" s="8" t="s">
        <v>430</v>
      </c>
      <c r="E135" s="9" t="s">
        <v>800</v>
      </c>
      <c r="G135" s="12">
        <v>146.84</v>
      </c>
      <c r="N135" s="16"/>
      <c r="O135" s="1"/>
    </row>
    <row r="136" spans="1:15" ht="12.75">
      <c r="A136" s="1"/>
      <c r="D136" s="8" t="s">
        <v>429</v>
      </c>
      <c r="E136" s="9" t="s">
        <v>799</v>
      </c>
      <c r="G136" s="12">
        <v>16.667</v>
      </c>
      <c r="N136" s="16"/>
      <c r="O136" s="1"/>
    </row>
    <row r="137" spans="1:15" ht="12.75">
      <c r="A137" s="1"/>
      <c r="D137" s="8" t="s">
        <v>443</v>
      </c>
      <c r="E137" s="9" t="s">
        <v>810</v>
      </c>
      <c r="G137" s="12">
        <v>5.67295</v>
      </c>
      <c r="N137" s="16"/>
      <c r="O137" s="1"/>
    </row>
    <row r="138" spans="1:15" ht="12.75">
      <c r="A138" s="1"/>
      <c r="D138" s="8" t="s">
        <v>444</v>
      </c>
      <c r="E138" s="9" t="s">
        <v>811</v>
      </c>
      <c r="G138" s="12">
        <v>10.14415</v>
      </c>
      <c r="N138" s="16"/>
      <c r="O138" s="1"/>
    </row>
    <row r="139" spans="1:15" ht="12.75">
      <c r="A139" s="1"/>
      <c r="D139" s="8" t="s">
        <v>431</v>
      </c>
      <c r="E139" s="9" t="s">
        <v>801</v>
      </c>
      <c r="G139" s="12">
        <v>-81.217</v>
      </c>
      <c r="N139" s="16"/>
      <c r="O139" s="1"/>
    </row>
    <row r="140" spans="1:15" ht="12.75">
      <c r="A140" s="1"/>
      <c r="D140" s="8" t="s">
        <v>432</v>
      </c>
      <c r="E140" s="9" t="s">
        <v>802</v>
      </c>
      <c r="G140" s="12">
        <v>-77.665</v>
      </c>
      <c r="N140" s="16"/>
      <c r="O140" s="1"/>
    </row>
    <row r="141" spans="1:15" ht="12.75">
      <c r="A141" s="1"/>
      <c r="D141" s="8" t="s">
        <v>433</v>
      </c>
      <c r="E141" s="9" t="s">
        <v>803</v>
      </c>
      <c r="G141" s="12">
        <v>-27.35663</v>
      </c>
      <c r="N141" s="16"/>
      <c r="O141" s="1"/>
    </row>
    <row r="142" spans="1:15" ht="12.75">
      <c r="A142" s="1"/>
      <c r="D142" s="8" t="s">
        <v>422</v>
      </c>
      <c r="E142" s="9" t="s">
        <v>794</v>
      </c>
      <c r="G142" s="12">
        <v>-50.7</v>
      </c>
      <c r="N142" s="16"/>
      <c r="O142" s="1"/>
    </row>
    <row r="143" spans="1:64" ht="12.75">
      <c r="A143" s="60" t="s">
        <v>33</v>
      </c>
      <c r="B143" s="5"/>
      <c r="C143" s="5" t="s">
        <v>195</v>
      </c>
      <c r="D143" s="176" t="s">
        <v>446</v>
      </c>
      <c r="E143" s="177"/>
      <c r="F143" s="5" t="s">
        <v>881</v>
      </c>
      <c r="G143" s="11">
        <v>88.19</v>
      </c>
      <c r="H143" s="103"/>
      <c r="I143" s="11">
        <f>G143*AO143</f>
        <v>0</v>
      </c>
      <c r="J143" s="11">
        <f>G143*AP143</f>
        <v>0</v>
      </c>
      <c r="K143" s="11">
        <f>G143*H143</f>
        <v>0</v>
      </c>
      <c r="L143" s="11">
        <v>0.00925</v>
      </c>
      <c r="M143" s="11">
        <f>G143*L143</f>
        <v>0.8157574999999999</v>
      </c>
      <c r="N143" s="15" t="s">
        <v>912</v>
      </c>
      <c r="O143" s="1"/>
      <c r="Z143" s="20">
        <f>IF(AQ143="5",BJ143,0)</f>
        <v>0</v>
      </c>
      <c r="AB143" s="20">
        <f>IF(AQ143="1",BH143,0)</f>
        <v>0</v>
      </c>
      <c r="AC143" s="20">
        <f>IF(AQ143="1",BI143,0)</f>
        <v>0</v>
      </c>
      <c r="AD143" s="20">
        <f>IF(AQ143="7",BH143,0)</f>
        <v>0</v>
      </c>
      <c r="AE143" s="20">
        <f>IF(AQ143="7",BI143,0)</f>
        <v>0</v>
      </c>
      <c r="AF143" s="20">
        <f>IF(AQ143="2",BH143,0)</f>
        <v>0</v>
      </c>
      <c r="AG143" s="20">
        <f>IF(AQ143="2",BI143,0)</f>
        <v>0</v>
      </c>
      <c r="AH143" s="20">
        <f>IF(AQ143="0",BJ143,0)</f>
        <v>0</v>
      </c>
      <c r="AI143" s="14"/>
      <c r="AJ143" s="11">
        <f>IF(AN143=0,K143,0)</f>
        <v>0</v>
      </c>
      <c r="AK143" s="11">
        <f>IF(AN143=15,K143,0)</f>
        <v>0</v>
      </c>
      <c r="AL143" s="11">
        <f>IF(AN143=21,K143,0)</f>
        <v>0</v>
      </c>
      <c r="AN143" s="20">
        <v>21</v>
      </c>
      <c r="AO143" s="20">
        <f>H143*0.642766724311352</f>
        <v>0</v>
      </c>
      <c r="AP143" s="20">
        <f>H143*(1-0.642766724311352)</f>
        <v>0</v>
      </c>
      <c r="AQ143" s="21" t="s">
        <v>7</v>
      </c>
      <c r="AV143" s="20">
        <f>AW143+AX143</f>
        <v>0</v>
      </c>
      <c r="AW143" s="20">
        <f>G143*AO143</f>
        <v>0</v>
      </c>
      <c r="AX143" s="20">
        <f>G143*AP143</f>
        <v>0</v>
      </c>
      <c r="AY143" s="23" t="s">
        <v>933</v>
      </c>
      <c r="AZ143" s="23" t="s">
        <v>967</v>
      </c>
      <c r="BA143" s="14" t="s">
        <v>976</v>
      </c>
      <c r="BC143" s="20">
        <f>AW143+AX143</f>
        <v>0</v>
      </c>
      <c r="BD143" s="20">
        <f>H143/(100-BE143)*100</f>
        <v>0</v>
      </c>
      <c r="BE143" s="20">
        <v>0</v>
      </c>
      <c r="BF143" s="20">
        <f>M143</f>
        <v>0.8157574999999999</v>
      </c>
      <c r="BH143" s="11">
        <f>G143*AO143</f>
        <v>0</v>
      </c>
      <c r="BI143" s="11">
        <f>G143*AP143</f>
        <v>0</v>
      </c>
      <c r="BJ143" s="11">
        <f>G143*H143</f>
        <v>0</v>
      </c>
      <c r="BK143" s="11" t="s">
        <v>981</v>
      </c>
      <c r="BL143" s="20">
        <v>62</v>
      </c>
    </row>
    <row r="144" spans="1:15" ht="12.75">
      <c r="A144" s="1"/>
      <c r="D144" s="8" t="s">
        <v>426</v>
      </c>
      <c r="E144" s="9" t="s">
        <v>796</v>
      </c>
      <c r="G144" s="12">
        <v>35.245</v>
      </c>
      <c r="N144" s="16"/>
      <c r="O144" s="1"/>
    </row>
    <row r="145" spans="1:15" ht="12.75">
      <c r="A145" s="1"/>
      <c r="D145" s="8" t="s">
        <v>428</v>
      </c>
      <c r="E145" s="9" t="s">
        <v>798</v>
      </c>
      <c r="G145" s="12">
        <v>36.281</v>
      </c>
      <c r="N145" s="16"/>
      <c r="O145" s="1"/>
    </row>
    <row r="146" spans="1:15" ht="12.75">
      <c r="A146" s="1"/>
      <c r="D146" s="8" t="s">
        <v>429</v>
      </c>
      <c r="E146" s="9" t="s">
        <v>799</v>
      </c>
      <c r="G146" s="12">
        <v>16.667</v>
      </c>
      <c r="N146" s="16"/>
      <c r="O146" s="1"/>
    </row>
    <row r="147" spans="1:64" ht="12.75">
      <c r="A147" s="60" t="s">
        <v>34</v>
      </c>
      <c r="B147" s="5"/>
      <c r="C147" s="5" t="s">
        <v>196</v>
      </c>
      <c r="D147" s="176" t="s">
        <v>447</v>
      </c>
      <c r="E147" s="177"/>
      <c r="F147" s="5" t="s">
        <v>881</v>
      </c>
      <c r="G147" s="11">
        <v>186.24</v>
      </c>
      <c r="H147" s="103"/>
      <c r="I147" s="11">
        <f>G147*AO147</f>
        <v>0</v>
      </c>
      <c r="J147" s="11">
        <f>G147*AP147</f>
        <v>0</v>
      </c>
      <c r="K147" s="11">
        <f>G147*H147</f>
        <v>0</v>
      </c>
      <c r="L147" s="11">
        <v>4E-05</v>
      </c>
      <c r="M147" s="11">
        <f>G147*L147</f>
        <v>0.007449600000000001</v>
      </c>
      <c r="N147" s="15" t="s">
        <v>912</v>
      </c>
      <c r="O147" s="1"/>
      <c r="Z147" s="20">
        <f>IF(AQ147="5",BJ147,0)</f>
        <v>0</v>
      </c>
      <c r="AB147" s="20">
        <f>IF(AQ147="1",BH147,0)</f>
        <v>0</v>
      </c>
      <c r="AC147" s="20">
        <f>IF(AQ147="1",BI147,0)</f>
        <v>0</v>
      </c>
      <c r="AD147" s="20">
        <f>IF(AQ147="7",BH147,0)</f>
        <v>0</v>
      </c>
      <c r="AE147" s="20">
        <f>IF(AQ147="7",BI147,0)</f>
        <v>0</v>
      </c>
      <c r="AF147" s="20">
        <f>IF(AQ147="2",BH147,0)</f>
        <v>0</v>
      </c>
      <c r="AG147" s="20">
        <f>IF(AQ147="2",BI147,0)</f>
        <v>0</v>
      </c>
      <c r="AH147" s="20">
        <f>IF(AQ147="0",BJ147,0)</f>
        <v>0</v>
      </c>
      <c r="AI147" s="14"/>
      <c r="AJ147" s="11">
        <f>IF(AN147=0,K147,0)</f>
        <v>0</v>
      </c>
      <c r="AK147" s="11">
        <f>IF(AN147=15,K147,0)</f>
        <v>0</v>
      </c>
      <c r="AL147" s="11">
        <f>IF(AN147=21,K147,0)</f>
        <v>0</v>
      </c>
      <c r="AN147" s="20">
        <v>21</v>
      </c>
      <c r="AO147" s="20">
        <f>H147*0.302750577454193</f>
        <v>0</v>
      </c>
      <c r="AP147" s="20">
        <f>H147*(1-0.302750577454193)</f>
        <v>0</v>
      </c>
      <c r="AQ147" s="21" t="s">
        <v>7</v>
      </c>
      <c r="AV147" s="20">
        <f>AW147+AX147</f>
        <v>0</v>
      </c>
      <c r="AW147" s="20">
        <f>G147*AO147</f>
        <v>0</v>
      </c>
      <c r="AX147" s="20">
        <f>G147*AP147</f>
        <v>0</v>
      </c>
      <c r="AY147" s="23" t="s">
        <v>933</v>
      </c>
      <c r="AZ147" s="23" t="s">
        <v>967</v>
      </c>
      <c r="BA147" s="14" t="s">
        <v>976</v>
      </c>
      <c r="BC147" s="20">
        <f>AW147+AX147</f>
        <v>0</v>
      </c>
      <c r="BD147" s="20">
        <f>H147/(100-BE147)*100</f>
        <v>0</v>
      </c>
      <c r="BE147" s="20">
        <v>0</v>
      </c>
      <c r="BF147" s="20">
        <f>M147</f>
        <v>0.007449600000000001</v>
      </c>
      <c r="BH147" s="11">
        <f>G147*AO147</f>
        <v>0</v>
      </c>
      <c r="BI147" s="11">
        <f>G147*AP147</f>
        <v>0</v>
      </c>
      <c r="BJ147" s="11">
        <f>G147*H147</f>
        <v>0</v>
      </c>
      <c r="BK147" s="11" t="s">
        <v>981</v>
      </c>
      <c r="BL147" s="20">
        <v>62</v>
      </c>
    </row>
    <row r="148" spans="1:15" ht="12.75">
      <c r="A148" s="1"/>
      <c r="D148" s="8" t="s">
        <v>448</v>
      </c>
      <c r="E148" s="9" t="s">
        <v>795</v>
      </c>
      <c r="G148" s="12">
        <v>52.792</v>
      </c>
      <c r="N148" s="16"/>
      <c r="O148" s="1"/>
    </row>
    <row r="149" spans="1:15" ht="12.75">
      <c r="A149" s="1"/>
      <c r="D149" s="8" t="s">
        <v>449</v>
      </c>
      <c r="E149" s="9" t="s">
        <v>813</v>
      </c>
      <c r="G149" s="12">
        <v>28.425</v>
      </c>
      <c r="N149" s="16"/>
      <c r="O149" s="1"/>
    </row>
    <row r="150" spans="1:15" ht="12.75">
      <c r="A150" s="1"/>
      <c r="D150" s="8" t="s">
        <v>450</v>
      </c>
      <c r="E150" s="9" t="s">
        <v>814</v>
      </c>
      <c r="G150" s="12">
        <v>12.945</v>
      </c>
      <c r="N150" s="16"/>
      <c r="O150" s="1"/>
    </row>
    <row r="151" spans="1:15" ht="12.75">
      <c r="A151" s="1"/>
      <c r="D151" s="8" t="s">
        <v>451</v>
      </c>
      <c r="E151" s="9" t="s">
        <v>815</v>
      </c>
      <c r="G151" s="12">
        <v>16.28625</v>
      </c>
      <c r="N151" s="16"/>
      <c r="O151" s="1"/>
    </row>
    <row r="152" spans="1:15" ht="12.75">
      <c r="A152" s="1"/>
      <c r="D152" s="8" t="s">
        <v>452</v>
      </c>
      <c r="E152" s="9" t="s">
        <v>797</v>
      </c>
      <c r="G152" s="12">
        <v>64.72</v>
      </c>
      <c r="N152" s="16"/>
      <c r="O152" s="1"/>
    </row>
    <row r="153" spans="1:15" ht="12.75">
      <c r="A153" s="1"/>
      <c r="D153" s="8" t="s">
        <v>453</v>
      </c>
      <c r="E153" s="9" t="s">
        <v>800</v>
      </c>
      <c r="G153" s="12">
        <v>11.07375</v>
      </c>
      <c r="N153" s="16"/>
      <c r="O153" s="1"/>
    </row>
    <row r="154" spans="1:64" ht="12.75">
      <c r="A154" s="60" t="s">
        <v>35</v>
      </c>
      <c r="B154" s="5"/>
      <c r="C154" s="5" t="s">
        <v>197</v>
      </c>
      <c r="D154" s="176" t="s">
        <v>454</v>
      </c>
      <c r="E154" s="177"/>
      <c r="F154" s="5" t="s">
        <v>881</v>
      </c>
      <c r="G154" s="11">
        <v>159.92</v>
      </c>
      <c r="H154" s="103"/>
      <c r="I154" s="11">
        <f>G154*AO154</f>
        <v>0</v>
      </c>
      <c r="J154" s="11">
        <f>G154*AP154</f>
        <v>0</v>
      </c>
      <c r="K154" s="11">
        <f>G154*H154</f>
        <v>0</v>
      </c>
      <c r="L154" s="11">
        <v>0.01659</v>
      </c>
      <c r="M154" s="11">
        <f>G154*L154</f>
        <v>2.6530728</v>
      </c>
      <c r="N154" s="15" t="s">
        <v>912</v>
      </c>
      <c r="O154" s="1"/>
      <c r="Z154" s="20">
        <f>IF(AQ154="5",BJ154,0)</f>
        <v>0</v>
      </c>
      <c r="AB154" s="20">
        <f>IF(AQ154="1",BH154,0)</f>
        <v>0</v>
      </c>
      <c r="AC154" s="20">
        <f>IF(AQ154="1",BI154,0)</f>
        <v>0</v>
      </c>
      <c r="AD154" s="20">
        <f>IF(AQ154="7",BH154,0)</f>
        <v>0</v>
      </c>
      <c r="AE154" s="20">
        <f>IF(AQ154="7",BI154,0)</f>
        <v>0</v>
      </c>
      <c r="AF154" s="20">
        <f>IF(AQ154="2",BH154,0)</f>
        <v>0</v>
      </c>
      <c r="AG154" s="20">
        <f>IF(AQ154="2",BI154,0)</f>
        <v>0</v>
      </c>
      <c r="AH154" s="20">
        <f>IF(AQ154="0",BJ154,0)</f>
        <v>0</v>
      </c>
      <c r="AI154" s="14"/>
      <c r="AJ154" s="11">
        <f>IF(AN154=0,K154,0)</f>
        <v>0</v>
      </c>
      <c r="AK154" s="11">
        <f>IF(AN154=15,K154,0)</f>
        <v>0</v>
      </c>
      <c r="AL154" s="11">
        <f>IF(AN154=21,K154,0)</f>
        <v>0</v>
      </c>
      <c r="AN154" s="20">
        <v>21</v>
      </c>
      <c r="AO154" s="20">
        <f>H154*0.660511486056945</f>
        <v>0</v>
      </c>
      <c r="AP154" s="20">
        <f>H154*(1-0.660511486056945)</f>
        <v>0</v>
      </c>
      <c r="AQ154" s="21" t="s">
        <v>7</v>
      </c>
      <c r="AV154" s="20">
        <f>AW154+AX154</f>
        <v>0</v>
      </c>
      <c r="AW154" s="20">
        <f>G154*AO154</f>
        <v>0</v>
      </c>
      <c r="AX154" s="20">
        <f>G154*AP154</f>
        <v>0</v>
      </c>
      <c r="AY154" s="23" t="s">
        <v>933</v>
      </c>
      <c r="AZ154" s="23" t="s">
        <v>967</v>
      </c>
      <c r="BA154" s="14" t="s">
        <v>976</v>
      </c>
      <c r="BC154" s="20">
        <f>AW154+AX154</f>
        <v>0</v>
      </c>
      <c r="BD154" s="20">
        <f>H154/(100-BE154)*100</f>
        <v>0</v>
      </c>
      <c r="BE154" s="20">
        <v>0</v>
      </c>
      <c r="BF154" s="20">
        <f>M154</f>
        <v>2.6530728</v>
      </c>
      <c r="BH154" s="11">
        <f>G154*AO154</f>
        <v>0</v>
      </c>
      <c r="BI154" s="11">
        <f>G154*AP154</f>
        <v>0</v>
      </c>
      <c r="BJ154" s="11">
        <f>G154*H154</f>
        <v>0</v>
      </c>
      <c r="BK154" s="11" t="s">
        <v>981</v>
      </c>
      <c r="BL154" s="20">
        <v>62</v>
      </c>
    </row>
    <row r="155" spans="1:15" ht="12.75">
      <c r="A155" s="1"/>
      <c r="D155" s="8" t="s">
        <v>455</v>
      </c>
      <c r="E155" s="9" t="s">
        <v>796</v>
      </c>
      <c r="G155" s="12">
        <v>60.42</v>
      </c>
      <c r="N155" s="16"/>
      <c r="O155" s="1"/>
    </row>
    <row r="156" spans="1:15" ht="12.75">
      <c r="A156" s="1"/>
      <c r="D156" s="8" t="s">
        <v>456</v>
      </c>
      <c r="E156" s="9" t="s">
        <v>798</v>
      </c>
      <c r="G156" s="12">
        <v>62.196</v>
      </c>
      <c r="N156" s="16"/>
      <c r="O156" s="1"/>
    </row>
    <row r="157" spans="1:15" ht="12.75">
      <c r="A157" s="1"/>
      <c r="D157" s="8" t="s">
        <v>457</v>
      </c>
      <c r="E157" s="9" t="s">
        <v>799</v>
      </c>
      <c r="G157" s="12">
        <v>28.572</v>
      </c>
      <c r="N157" s="16"/>
      <c r="O157" s="1"/>
    </row>
    <row r="158" spans="1:15" ht="12.75">
      <c r="A158" s="1"/>
      <c r="D158" s="63" t="s">
        <v>435</v>
      </c>
      <c r="E158" s="63" t="s">
        <v>804</v>
      </c>
      <c r="G158" s="12">
        <v>8.736</v>
      </c>
      <c r="N158" s="16"/>
      <c r="O158" s="1"/>
    </row>
    <row r="159" spans="1:64" ht="12.75">
      <c r="A159" s="60" t="s">
        <v>36</v>
      </c>
      <c r="B159" s="5"/>
      <c r="C159" s="5" t="s">
        <v>198</v>
      </c>
      <c r="D159" s="176" t="s">
        <v>458</v>
      </c>
      <c r="E159" s="177"/>
      <c r="F159" s="5" t="s">
        <v>881</v>
      </c>
      <c r="G159" s="11">
        <v>608.17</v>
      </c>
      <c r="H159" s="103"/>
      <c r="I159" s="11">
        <f>G159*AO159</f>
        <v>0</v>
      </c>
      <c r="J159" s="11">
        <f>G159*AP159</f>
        <v>0</v>
      </c>
      <c r="K159" s="11">
        <f>G159*H159</f>
        <v>0</v>
      </c>
      <c r="L159" s="11">
        <v>0.04258</v>
      </c>
      <c r="M159" s="11">
        <f>G159*L159</f>
        <v>25.8958786</v>
      </c>
      <c r="N159" s="15" t="s">
        <v>912</v>
      </c>
      <c r="O159" s="1"/>
      <c r="Z159" s="20">
        <f>IF(AQ159="5",BJ159,0)</f>
        <v>0</v>
      </c>
      <c r="AB159" s="20">
        <f>IF(AQ159="1",BH159,0)</f>
        <v>0</v>
      </c>
      <c r="AC159" s="20">
        <f>IF(AQ159="1",BI159,0)</f>
        <v>0</v>
      </c>
      <c r="AD159" s="20">
        <f>IF(AQ159="7",BH159,0)</f>
        <v>0</v>
      </c>
      <c r="AE159" s="20">
        <f>IF(AQ159="7",BI159,0)</f>
        <v>0</v>
      </c>
      <c r="AF159" s="20">
        <f>IF(AQ159="2",BH159,0)</f>
        <v>0</v>
      </c>
      <c r="AG159" s="20">
        <f>IF(AQ159="2",BI159,0)</f>
        <v>0</v>
      </c>
      <c r="AH159" s="20">
        <f>IF(AQ159="0",BJ159,0)</f>
        <v>0</v>
      </c>
      <c r="AI159" s="14"/>
      <c r="AJ159" s="11">
        <f>IF(AN159=0,K159,0)</f>
        <v>0</v>
      </c>
      <c r="AK159" s="11">
        <f>IF(AN159=15,K159,0)</f>
        <v>0</v>
      </c>
      <c r="AL159" s="11">
        <f>IF(AN159=21,K159,0)</f>
        <v>0</v>
      </c>
      <c r="AN159" s="20">
        <v>21</v>
      </c>
      <c r="AO159" s="20">
        <f>H159*0.68260434826581</f>
        <v>0</v>
      </c>
      <c r="AP159" s="20">
        <f>H159*(1-0.68260434826581)</f>
        <v>0</v>
      </c>
      <c r="AQ159" s="21" t="s">
        <v>7</v>
      </c>
      <c r="AV159" s="20">
        <f>AW159+AX159</f>
        <v>0</v>
      </c>
      <c r="AW159" s="20">
        <f>G159*AO159</f>
        <v>0</v>
      </c>
      <c r="AX159" s="20">
        <f>G159*AP159</f>
        <v>0</v>
      </c>
      <c r="AY159" s="23" t="s">
        <v>933</v>
      </c>
      <c r="AZ159" s="23" t="s">
        <v>967</v>
      </c>
      <c r="BA159" s="14" t="s">
        <v>976</v>
      </c>
      <c r="BC159" s="20">
        <f>AW159+AX159</f>
        <v>0</v>
      </c>
      <c r="BD159" s="20">
        <f>H159/(100-BE159)*100</f>
        <v>0</v>
      </c>
      <c r="BE159" s="20">
        <v>0</v>
      </c>
      <c r="BF159" s="20">
        <f>M159</f>
        <v>25.8958786</v>
      </c>
      <c r="BH159" s="11">
        <f>G159*AO159</f>
        <v>0</v>
      </c>
      <c r="BI159" s="11">
        <f>G159*AP159</f>
        <v>0</v>
      </c>
      <c r="BJ159" s="11">
        <f>G159*H159</f>
        <v>0</v>
      </c>
      <c r="BK159" s="11" t="s">
        <v>981</v>
      </c>
      <c r="BL159" s="20">
        <v>62</v>
      </c>
    </row>
    <row r="160" spans="1:15" ht="12.75">
      <c r="A160" s="1"/>
      <c r="D160" s="8" t="s">
        <v>425</v>
      </c>
      <c r="E160" s="9" t="s">
        <v>795</v>
      </c>
      <c r="G160" s="12">
        <v>298.2355</v>
      </c>
      <c r="N160" s="16"/>
      <c r="O160" s="1"/>
    </row>
    <row r="161" spans="1:15" ht="12.75">
      <c r="A161" s="1"/>
      <c r="D161" s="8" t="s">
        <v>426</v>
      </c>
      <c r="E161" s="9" t="s">
        <v>796</v>
      </c>
      <c r="G161" s="12">
        <v>35.245</v>
      </c>
      <c r="N161" s="16"/>
      <c r="O161" s="1"/>
    </row>
    <row r="162" spans="1:15" ht="12.75">
      <c r="A162" s="1"/>
      <c r="D162" s="8" t="s">
        <v>427</v>
      </c>
      <c r="E162" s="9" t="s">
        <v>797</v>
      </c>
      <c r="G162" s="12">
        <v>311.8382</v>
      </c>
      <c r="N162" s="16"/>
      <c r="O162" s="1"/>
    </row>
    <row r="163" spans="1:15" ht="12.75">
      <c r="A163" s="1"/>
      <c r="D163" s="8" t="s">
        <v>428</v>
      </c>
      <c r="E163" s="9" t="s">
        <v>798</v>
      </c>
      <c r="G163" s="12">
        <v>36.281</v>
      </c>
      <c r="N163" s="16"/>
      <c r="O163" s="1"/>
    </row>
    <row r="164" spans="1:15" ht="12.75">
      <c r="A164" s="1"/>
      <c r="D164" s="8" t="s">
        <v>429</v>
      </c>
      <c r="E164" s="9" t="s">
        <v>799</v>
      </c>
      <c r="G164" s="12">
        <v>16.667</v>
      </c>
      <c r="N164" s="16"/>
      <c r="O164" s="1"/>
    </row>
    <row r="165" spans="1:15" ht="12.75">
      <c r="A165" s="1"/>
      <c r="D165" s="8" t="s">
        <v>430</v>
      </c>
      <c r="E165" s="9" t="s">
        <v>800</v>
      </c>
      <c r="G165" s="12">
        <v>146.84</v>
      </c>
      <c r="N165" s="16"/>
      <c r="O165" s="1"/>
    </row>
    <row r="166" spans="1:15" ht="12.75">
      <c r="A166" s="1"/>
      <c r="D166" s="8" t="s">
        <v>431</v>
      </c>
      <c r="E166" s="9" t="s">
        <v>801</v>
      </c>
      <c r="G166" s="12">
        <v>-81.217</v>
      </c>
      <c r="N166" s="16"/>
      <c r="O166" s="1"/>
    </row>
    <row r="167" spans="1:15" ht="12.75">
      <c r="A167" s="1"/>
      <c r="D167" s="8" t="s">
        <v>432</v>
      </c>
      <c r="E167" s="9" t="s">
        <v>802</v>
      </c>
      <c r="G167" s="12">
        <v>-77.665</v>
      </c>
      <c r="N167" s="16"/>
      <c r="O167" s="1"/>
    </row>
    <row r="168" spans="1:15" ht="12.75">
      <c r="A168" s="1"/>
      <c r="D168" s="8" t="s">
        <v>433</v>
      </c>
      <c r="E168" s="9" t="s">
        <v>803</v>
      </c>
      <c r="G168" s="12">
        <v>-27.35663</v>
      </c>
      <c r="N168" s="16"/>
      <c r="O168" s="1"/>
    </row>
    <row r="169" spans="1:15" ht="12.75">
      <c r="A169" s="1"/>
      <c r="D169" s="8" t="s">
        <v>422</v>
      </c>
      <c r="E169" s="9" t="s">
        <v>794</v>
      </c>
      <c r="G169" s="12">
        <v>-50.7</v>
      </c>
      <c r="N169" s="16"/>
      <c r="O169" s="1"/>
    </row>
    <row r="170" spans="1:64" ht="12.75">
      <c r="A170" s="60" t="s">
        <v>37</v>
      </c>
      <c r="B170" s="5"/>
      <c r="C170" s="5" t="s">
        <v>199</v>
      </c>
      <c r="D170" s="176" t="s">
        <v>459</v>
      </c>
      <c r="E170" s="177"/>
      <c r="F170" s="5" t="s">
        <v>881</v>
      </c>
      <c r="G170" s="11">
        <v>96.8</v>
      </c>
      <c r="H170" s="103"/>
      <c r="I170" s="11">
        <f>G170*AO170</f>
        <v>0</v>
      </c>
      <c r="J170" s="11">
        <f>G170*AP170</f>
        <v>0</v>
      </c>
      <c r="K170" s="11">
        <f>G170*H170</f>
        <v>0</v>
      </c>
      <c r="L170" s="11">
        <v>0.01401</v>
      </c>
      <c r="M170" s="11">
        <f>G170*L170</f>
        <v>1.356168</v>
      </c>
      <c r="N170" s="15" t="s">
        <v>912</v>
      </c>
      <c r="O170" s="1"/>
      <c r="Z170" s="20">
        <f>IF(AQ170="5",BJ170,0)</f>
        <v>0</v>
      </c>
      <c r="AB170" s="20">
        <f>IF(AQ170="1",BH170,0)</f>
        <v>0</v>
      </c>
      <c r="AC170" s="20">
        <f>IF(AQ170="1",BI170,0)</f>
        <v>0</v>
      </c>
      <c r="AD170" s="20">
        <f>IF(AQ170="7",BH170,0)</f>
        <v>0</v>
      </c>
      <c r="AE170" s="20">
        <f>IF(AQ170="7",BI170,0)</f>
        <v>0</v>
      </c>
      <c r="AF170" s="20">
        <f>IF(AQ170="2",BH170,0)</f>
        <v>0</v>
      </c>
      <c r="AG170" s="20">
        <f>IF(AQ170="2",BI170,0)</f>
        <v>0</v>
      </c>
      <c r="AH170" s="20">
        <f>IF(AQ170="0",BJ170,0)</f>
        <v>0</v>
      </c>
      <c r="AI170" s="14"/>
      <c r="AJ170" s="11">
        <f>IF(AN170=0,K170,0)</f>
        <v>0</v>
      </c>
      <c r="AK170" s="11">
        <f>IF(AN170=15,K170,0)</f>
        <v>0</v>
      </c>
      <c r="AL170" s="11">
        <f>IF(AN170=21,K170,0)</f>
        <v>0</v>
      </c>
      <c r="AN170" s="20">
        <v>21</v>
      </c>
      <c r="AO170" s="20">
        <f>H170*0.371234675465186</f>
        <v>0</v>
      </c>
      <c r="AP170" s="20">
        <f>H170*(1-0.371234675465186)</f>
        <v>0</v>
      </c>
      <c r="AQ170" s="21" t="s">
        <v>7</v>
      </c>
      <c r="AV170" s="20">
        <f>AW170+AX170</f>
        <v>0</v>
      </c>
      <c r="AW170" s="20">
        <f>G170*AO170</f>
        <v>0</v>
      </c>
      <c r="AX170" s="20">
        <f>G170*AP170</f>
        <v>0</v>
      </c>
      <c r="AY170" s="23" t="s">
        <v>933</v>
      </c>
      <c r="AZ170" s="23" t="s">
        <v>967</v>
      </c>
      <c r="BA170" s="14" t="s">
        <v>976</v>
      </c>
      <c r="BC170" s="20">
        <f>AW170+AX170</f>
        <v>0</v>
      </c>
      <c r="BD170" s="20">
        <f>H170/(100-BE170)*100</f>
        <v>0</v>
      </c>
      <c r="BE170" s="20">
        <v>0</v>
      </c>
      <c r="BF170" s="20">
        <f>M170</f>
        <v>1.356168</v>
      </c>
      <c r="BH170" s="11">
        <f>G170*AO170</f>
        <v>0</v>
      </c>
      <c r="BI170" s="11">
        <f>G170*AP170</f>
        <v>0</v>
      </c>
      <c r="BJ170" s="11">
        <f>G170*H170</f>
        <v>0</v>
      </c>
      <c r="BK170" s="11" t="s">
        <v>981</v>
      </c>
      <c r="BL170" s="20">
        <v>62</v>
      </c>
    </row>
    <row r="171" spans="1:15" ht="12.75">
      <c r="A171" s="1"/>
      <c r="D171" s="8" t="s">
        <v>460</v>
      </c>
      <c r="E171" s="9" t="s">
        <v>805</v>
      </c>
      <c r="G171" s="12">
        <v>14.9728</v>
      </c>
      <c r="N171" s="16"/>
      <c r="O171" s="1"/>
    </row>
    <row r="172" spans="1:15" ht="12.75">
      <c r="A172" s="1"/>
      <c r="D172" s="8" t="s">
        <v>461</v>
      </c>
      <c r="E172" s="9" t="s">
        <v>806</v>
      </c>
      <c r="G172" s="12">
        <v>9.2128</v>
      </c>
      <c r="N172" s="16"/>
      <c r="O172" s="1"/>
    </row>
    <row r="173" spans="1:15" ht="12.75">
      <c r="A173" s="1"/>
      <c r="D173" s="8" t="s">
        <v>462</v>
      </c>
      <c r="E173" s="9" t="s">
        <v>807</v>
      </c>
      <c r="G173" s="12">
        <v>11.7568</v>
      </c>
      <c r="N173" s="16"/>
      <c r="O173" s="1"/>
    </row>
    <row r="174" spans="1:15" ht="12.75">
      <c r="A174" s="1"/>
      <c r="D174" s="8" t="s">
        <v>463</v>
      </c>
      <c r="E174" s="9" t="s">
        <v>809</v>
      </c>
      <c r="G174" s="12">
        <v>25.1456</v>
      </c>
      <c r="N174" s="16"/>
      <c r="O174" s="1"/>
    </row>
    <row r="175" spans="1:15" ht="12.75">
      <c r="A175" s="1"/>
      <c r="D175" s="8" t="s">
        <v>464</v>
      </c>
      <c r="E175" s="9" t="s">
        <v>808</v>
      </c>
      <c r="G175" s="12">
        <v>13.7024</v>
      </c>
      <c r="N175" s="16"/>
      <c r="O175" s="1"/>
    </row>
    <row r="176" spans="1:15" ht="12.75">
      <c r="A176" s="1"/>
      <c r="D176" s="8" t="s">
        <v>465</v>
      </c>
      <c r="E176" s="9" t="s">
        <v>810</v>
      </c>
      <c r="G176" s="12">
        <v>7.8928</v>
      </c>
      <c r="N176" s="16"/>
      <c r="O176" s="1"/>
    </row>
    <row r="177" spans="1:15" ht="12.75">
      <c r="A177" s="1"/>
      <c r="D177" s="8" t="s">
        <v>466</v>
      </c>
      <c r="E177" s="9" t="s">
        <v>811</v>
      </c>
      <c r="G177" s="12">
        <v>14.1136</v>
      </c>
      <c r="N177" s="16"/>
      <c r="O177" s="1"/>
    </row>
    <row r="178" spans="1:64" ht="12.75">
      <c r="A178" s="60" t="s">
        <v>38</v>
      </c>
      <c r="B178" s="5"/>
      <c r="C178" s="5" t="s">
        <v>200</v>
      </c>
      <c r="D178" s="176" t="s">
        <v>467</v>
      </c>
      <c r="E178" s="177"/>
      <c r="F178" s="5" t="s">
        <v>881</v>
      </c>
      <c r="G178" s="11">
        <v>31.7376</v>
      </c>
      <c r="H178" s="103"/>
      <c r="I178" s="11">
        <f>G178*AO178</f>
        <v>0</v>
      </c>
      <c r="J178" s="11">
        <f>G178*AP178</f>
        <v>0</v>
      </c>
      <c r="K178" s="11">
        <f>G178*H178</f>
        <v>0</v>
      </c>
      <c r="L178" s="11">
        <v>0.00902</v>
      </c>
      <c r="M178" s="11">
        <f>G178*L178</f>
        <v>0.28627315200000003</v>
      </c>
      <c r="N178" s="15" t="s">
        <v>912</v>
      </c>
      <c r="O178" s="1"/>
      <c r="Z178" s="20">
        <f>IF(AQ178="5",BJ178,0)</f>
        <v>0</v>
      </c>
      <c r="AB178" s="20">
        <f>IF(AQ178="1",BH178,0)</f>
        <v>0</v>
      </c>
      <c r="AC178" s="20">
        <f>IF(AQ178="1",BI178,0)</f>
        <v>0</v>
      </c>
      <c r="AD178" s="20">
        <f>IF(AQ178="7",BH178,0)</f>
        <v>0</v>
      </c>
      <c r="AE178" s="20">
        <f>IF(AQ178="7",BI178,0)</f>
        <v>0</v>
      </c>
      <c r="AF178" s="20">
        <f>IF(AQ178="2",BH178,0)</f>
        <v>0</v>
      </c>
      <c r="AG178" s="20">
        <f>IF(AQ178="2",BI178,0)</f>
        <v>0</v>
      </c>
      <c r="AH178" s="20">
        <f>IF(AQ178="0",BJ178,0)</f>
        <v>0</v>
      </c>
      <c r="AI178" s="14"/>
      <c r="AJ178" s="11">
        <f>IF(AN178=0,K178,0)</f>
        <v>0</v>
      </c>
      <c r="AK178" s="11">
        <f>IF(AN178=15,K178,0)</f>
        <v>0</v>
      </c>
      <c r="AL178" s="11">
        <f>IF(AN178=21,K178,0)</f>
        <v>0</v>
      </c>
      <c r="AN178" s="20">
        <v>21</v>
      </c>
      <c r="AO178" s="20">
        <f>H178*0.318848766179505</f>
        <v>0</v>
      </c>
      <c r="AP178" s="20">
        <f>H178*(1-0.318848766179505)</f>
        <v>0</v>
      </c>
      <c r="AQ178" s="21" t="s">
        <v>7</v>
      </c>
      <c r="AV178" s="20">
        <f>AW178+AX178</f>
        <v>0</v>
      </c>
      <c r="AW178" s="20">
        <f>G178*AO178</f>
        <v>0</v>
      </c>
      <c r="AX178" s="20">
        <f>G178*AP178</f>
        <v>0</v>
      </c>
      <c r="AY178" s="23" t="s">
        <v>933</v>
      </c>
      <c r="AZ178" s="23" t="s">
        <v>967</v>
      </c>
      <c r="BA178" s="14" t="s">
        <v>976</v>
      </c>
      <c r="BC178" s="20">
        <f>AW178+AX178</f>
        <v>0</v>
      </c>
      <c r="BD178" s="20">
        <f>H178/(100-BE178)*100</f>
        <v>0</v>
      </c>
      <c r="BE178" s="20">
        <v>0</v>
      </c>
      <c r="BF178" s="20">
        <f>M178</f>
        <v>0.28627315200000003</v>
      </c>
      <c r="BH178" s="11">
        <f>G178*AO178</f>
        <v>0</v>
      </c>
      <c r="BI178" s="11">
        <f>G178*AP178</f>
        <v>0</v>
      </c>
      <c r="BJ178" s="11">
        <f>G178*H178</f>
        <v>0</v>
      </c>
      <c r="BK178" s="11" t="s">
        <v>981</v>
      </c>
      <c r="BL178" s="20">
        <v>62</v>
      </c>
    </row>
    <row r="179" spans="1:15" ht="12.75">
      <c r="A179" s="1"/>
      <c r="D179" s="8" t="s">
        <v>468</v>
      </c>
      <c r="E179" s="9" t="s">
        <v>816</v>
      </c>
      <c r="G179" s="12">
        <v>10.7648</v>
      </c>
      <c r="N179" s="16"/>
      <c r="O179" s="1"/>
    </row>
    <row r="180" spans="1:15" ht="12.75">
      <c r="A180" s="1"/>
      <c r="D180" s="8" t="s">
        <v>469</v>
      </c>
      <c r="E180" s="9" t="s">
        <v>817</v>
      </c>
      <c r="G180" s="12">
        <v>2.88</v>
      </c>
      <c r="N180" s="16"/>
      <c r="O180" s="1"/>
    </row>
    <row r="181" spans="1:15" ht="12.75">
      <c r="A181" s="1"/>
      <c r="D181" s="8" t="s">
        <v>470</v>
      </c>
      <c r="E181" s="9" t="s">
        <v>818</v>
      </c>
      <c r="G181" s="12">
        <v>4.032</v>
      </c>
      <c r="N181" s="16"/>
      <c r="O181" s="1"/>
    </row>
    <row r="182" spans="1:15" ht="12.75">
      <c r="A182" s="1"/>
      <c r="D182" s="8" t="s">
        <v>471</v>
      </c>
      <c r="E182" s="9" t="s">
        <v>819</v>
      </c>
      <c r="G182" s="12">
        <v>11.1808</v>
      </c>
      <c r="N182" s="16"/>
      <c r="O182" s="1"/>
    </row>
    <row r="183" spans="1:15" ht="12.75">
      <c r="A183" s="1"/>
      <c r="D183" s="8" t="s">
        <v>469</v>
      </c>
      <c r="E183" s="9" t="s">
        <v>820</v>
      </c>
      <c r="G183" s="12">
        <v>2.88</v>
      </c>
      <c r="N183" s="16"/>
      <c r="O183" s="1"/>
    </row>
    <row r="184" spans="1:64" ht="12.75">
      <c r="A184" s="60" t="s">
        <v>39</v>
      </c>
      <c r="B184" s="5"/>
      <c r="C184" s="5" t="s">
        <v>201</v>
      </c>
      <c r="D184" s="176" t="s">
        <v>472</v>
      </c>
      <c r="E184" s="177"/>
      <c r="F184" s="5" t="s">
        <v>881</v>
      </c>
      <c r="G184" s="11">
        <v>541.22</v>
      </c>
      <c r="H184" s="103"/>
      <c r="I184" s="11">
        <f>G184*AO184</f>
        <v>0</v>
      </c>
      <c r="J184" s="11">
        <f>G184*AP184</f>
        <v>0</v>
      </c>
      <c r="K184" s="11">
        <f>G184*H184</f>
        <v>0</v>
      </c>
      <c r="L184" s="11">
        <v>0</v>
      </c>
      <c r="M184" s="11">
        <f>G184*L184</f>
        <v>0</v>
      </c>
      <c r="N184" s="15" t="s">
        <v>912</v>
      </c>
      <c r="O184" s="1"/>
      <c r="Z184" s="20">
        <f>IF(AQ184="5",BJ184,0)</f>
        <v>0</v>
      </c>
      <c r="AB184" s="20">
        <f>IF(AQ184="1",BH184,0)</f>
        <v>0</v>
      </c>
      <c r="AC184" s="20">
        <f>IF(AQ184="1",BI184,0)</f>
        <v>0</v>
      </c>
      <c r="AD184" s="20">
        <f>IF(AQ184="7",BH184,0)</f>
        <v>0</v>
      </c>
      <c r="AE184" s="20">
        <f>IF(AQ184="7",BI184,0)</f>
        <v>0</v>
      </c>
      <c r="AF184" s="20">
        <f>IF(AQ184="2",BH184,0)</f>
        <v>0</v>
      </c>
      <c r="AG184" s="20">
        <f>IF(AQ184="2",BI184,0)</f>
        <v>0</v>
      </c>
      <c r="AH184" s="20">
        <f>IF(AQ184="0",BJ184,0)</f>
        <v>0</v>
      </c>
      <c r="AI184" s="14"/>
      <c r="AJ184" s="11">
        <f>IF(AN184=0,K184,0)</f>
        <v>0</v>
      </c>
      <c r="AK184" s="11">
        <f>IF(AN184=15,K184,0)</f>
        <v>0</v>
      </c>
      <c r="AL184" s="11">
        <f>IF(AN184=21,K184,0)</f>
        <v>0</v>
      </c>
      <c r="AN184" s="20">
        <v>21</v>
      </c>
      <c r="AO184" s="20">
        <f>H184*0</f>
        <v>0</v>
      </c>
      <c r="AP184" s="20">
        <f>H184*(1-0)</f>
        <v>0</v>
      </c>
      <c r="AQ184" s="21" t="s">
        <v>7</v>
      </c>
      <c r="AV184" s="20">
        <f>AW184+AX184</f>
        <v>0</v>
      </c>
      <c r="AW184" s="20">
        <f>G184*AO184</f>
        <v>0</v>
      </c>
      <c r="AX184" s="20">
        <f>G184*AP184</f>
        <v>0</v>
      </c>
      <c r="AY184" s="23" t="s">
        <v>933</v>
      </c>
      <c r="AZ184" s="23" t="s">
        <v>967</v>
      </c>
      <c r="BA184" s="14" t="s">
        <v>976</v>
      </c>
      <c r="BC184" s="20">
        <f>AW184+AX184</f>
        <v>0</v>
      </c>
      <c r="BD184" s="20">
        <f>H184/(100-BE184)*100</f>
        <v>0</v>
      </c>
      <c r="BE184" s="20">
        <v>0</v>
      </c>
      <c r="BF184" s="20">
        <f>M184</f>
        <v>0</v>
      </c>
      <c r="BH184" s="11">
        <f>G184*AO184</f>
        <v>0</v>
      </c>
      <c r="BI184" s="11">
        <f>G184*AP184</f>
        <v>0</v>
      </c>
      <c r="BJ184" s="11">
        <f>G184*H184</f>
        <v>0</v>
      </c>
      <c r="BK184" s="11" t="s">
        <v>981</v>
      </c>
      <c r="BL184" s="20">
        <v>62</v>
      </c>
    </row>
    <row r="185" spans="1:15" ht="12.75">
      <c r="A185" s="1"/>
      <c r="D185" s="8" t="s">
        <v>425</v>
      </c>
      <c r="E185" s="9" t="s">
        <v>795</v>
      </c>
      <c r="G185" s="12">
        <v>298.2355</v>
      </c>
      <c r="N185" s="16"/>
      <c r="O185" s="1"/>
    </row>
    <row r="186" spans="1:15" ht="12.75">
      <c r="A186" s="1"/>
      <c r="D186" s="8" t="s">
        <v>426</v>
      </c>
      <c r="E186" s="9" t="s">
        <v>796</v>
      </c>
      <c r="G186" s="12">
        <v>35.245</v>
      </c>
      <c r="N186" s="16"/>
      <c r="O186" s="1"/>
    </row>
    <row r="187" spans="1:15" ht="12.75">
      <c r="A187" s="1"/>
      <c r="D187" s="8" t="s">
        <v>427</v>
      </c>
      <c r="E187" s="9" t="s">
        <v>797</v>
      </c>
      <c r="G187" s="12">
        <v>311.8382</v>
      </c>
      <c r="N187" s="16"/>
      <c r="O187" s="1"/>
    </row>
    <row r="188" spans="1:15" ht="12.75">
      <c r="A188" s="1"/>
      <c r="D188" s="8" t="s">
        <v>428</v>
      </c>
      <c r="E188" s="9" t="s">
        <v>798</v>
      </c>
      <c r="G188" s="12">
        <v>36.281</v>
      </c>
      <c r="N188" s="16"/>
      <c r="O188" s="1"/>
    </row>
    <row r="189" spans="1:15" ht="12.75">
      <c r="A189" s="1"/>
      <c r="D189" s="8" t="s">
        <v>429</v>
      </c>
      <c r="E189" s="9" t="s">
        <v>799</v>
      </c>
      <c r="G189" s="12">
        <v>16.667</v>
      </c>
      <c r="N189" s="16"/>
      <c r="O189" s="1"/>
    </row>
    <row r="190" spans="1:15" ht="12.75">
      <c r="A190" s="1"/>
      <c r="D190" s="8" t="s">
        <v>430</v>
      </c>
      <c r="E190" s="9" t="s">
        <v>800</v>
      </c>
      <c r="G190" s="12">
        <v>146.84</v>
      </c>
      <c r="N190" s="16"/>
      <c r="O190" s="1"/>
    </row>
    <row r="191" spans="1:15" ht="12.75">
      <c r="A191" s="1"/>
      <c r="D191" s="8" t="s">
        <v>431</v>
      </c>
      <c r="E191" s="9" t="s">
        <v>801</v>
      </c>
      <c r="G191" s="12">
        <v>-81.217</v>
      </c>
      <c r="N191" s="16"/>
      <c r="O191" s="1"/>
    </row>
    <row r="192" spans="1:15" ht="12.75">
      <c r="A192" s="1"/>
      <c r="D192" s="8" t="s">
        <v>432</v>
      </c>
      <c r="E192" s="9" t="s">
        <v>802</v>
      </c>
      <c r="G192" s="12">
        <v>-77.665</v>
      </c>
      <c r="N192" s="16"/>
      <c r="O192" s="1"/>
    </row>
    <row r="193" spans="1:15" ht="12.75">
      <c r="A193" s="1"/>
      <c r="D193" s="8" t="s">
        <v>433</v>
      </c>
      <c r="E193" s="9" t="s">
        <v>803</v>
      </c>
      <c r="G193" s="12">
        <v>-27.35663</v>
      </c>
      <c r="N193" s="16"/>
      <c r="O193" s="1"/>
    </row>
    <row r="194" spans="1:15" ht="12.75">
      <c r="A194" s="1"/>
      <c r="D194" s="8" t="s">
        <v>422</v>
      </c>
      <c r="E194" s="9" t="s">
        <v>794</v>
      </c>
      <c r="G194" s="12">
        <v>-50.7</v>
      </c>
      <c r="N194" s="16"/>
      <c r="O194" s="1"/>
    </row>
    <row r="195" spans="1:15" ht="12.75">
      <c r="A195" s="1"/>
      <c r="D195" s="8" t="s">
        <v>473</v>
      </c>
      <c r="E195" s="9" t="s">
        <v>821</v>
      </c>
      <c r="G195" s="12">
        <v>-66.95</v>
      </c>
      <c r="N195" s="16"/>
      <c r="O195" s="1"/>
    </row>
    <row r="196" spans="1:64" ht="12.75">
      <c r="A196" s="60" t="s">
        <v>40</v>
      </c>
      <c r="B196" s="5"/>
      <c r="C196" s="5" t="s">
        <v>202</v>
      </c>
      <c r="D196" s="176" t="s">
        <v>474</v>
      </c>
      <c r="E196" s="177"/>
      <c r="F196" s="5" t="s">
        <v>881</v>
      </c>
      <c r="G196" s="11">
        <v>96.93</v>
      </c>
      <c r="H196" s="103"/>
      <c r="I196" s="11">
        <f>G196*AO196</f>
        <v>0</v>
      </c>
      <c r="J196" s="11">
        <f>G196*AP196</f>
        <v>0</v>
      </c>
      <c r="K196" s="11">
        <f>G196*H196</f>
        <v>0</v>
      </c>
      <c r="L196" s="11">
        <v>0.00618</v>
      </c>
      <c r="M196" s="11">
        <f>G196*L196</f>
        <v>0.5990274</v>
      </c>
      <c r="N196" s="15" t="s">
        <v>912</v>
      </c>
      <c r="O196" s="1"/>
      <c r="Z196" s="20">
        <f>IF(AQ196="5",BJ196,0)</f>
        <v>0</v>
      </c>
      <c r="AB196" s="20">
        <f>IF(AQ196="1",BH196,0)</f>
        <v>0</v>
      </c>
      <c r="AC196" s="20">
        <f>IF(AQ196="1",BI196,0)</f>
        <v>0</v>
      </c>
      <c r="AD196" s="20">
        <f>IF(AQ196="7",BH196,0)</f>
        <v>0</v>
      </c>
      <c r="AE196" s="20">
        <f>IF(AQ196="7",BI196,0)</f>
        <v>0</v>
      </c>
      <c r="AF196" s="20">
        <f>IF(AQ196="2",BH196,0)</f>
        <v>0</v>
      </c>
      <c r="AG196" s="20">
        <f>IF(AQ196="2",BI196,0)</f>
        <v>0</v>
      </c>
      <c r="AH196" s="20">
        <f>IF(AQ196="0",BJ196,0)</f>
        <v>0</v>
      </c>
      <c r="AI196" s="14"/>
      <c r="AJ196" s="11">
        <f>IF(AN196=0,K196,0)</f>
        <v>0</v>
      </c>
      <c r="AK196" s="11">
        <f>IF(AN196=15,K196,0)</f>
        <v>0</v>
      </c>
      <c r="AL196" s="11">
        <f>IF(AN196=21,K196,0)</f>
        <v>0</v>
      </c>
      <c r="AN196" s="20">
        <v>21</v>
      </c>
      <c r="AO196" s="20">
        <f>H196*0.667265176577361</f>
        <v>0</v>
      </c>
      <c r="AP196" s="20">
        <f>H196*(1-0.667265176577361)</f>
        <v>0</v>
      </c>
      <c r="AQ196" s="21" t="s">
        <v>7</v>
      </c>
      <c r="AV196" s="20">
        <f>AW196+AX196</f>
        <v>0</v>
      </c>
      <c r="AW196" s="20">
        <f>G196*AO196</f>
        <v>0</v>
      </c>
      <c r="AX196" s="20">
        <f>G196*AP196</f>
        <v>0</v>
      </c>
      <c r="AY196" s="23" t="s">
        <v>933</v>
      </c>
      <c r="AZ196" s="23" t="s">
        <v>967</v>
      </c>
      <c r="BA196" s="14" t="s">
        <v>976</v>
      </c>
      <c r="BC196" s="20">
        <f>AW196+AX196</f>
        <v>0</v>
      </c>
      <c r="BD196" s="20">
        <f>H196/(100-BE196)*100</f>
        <v>0</v>
      </c>
      <c r="BE196" s="20">
        <v>0</v>
      </c>
      <c r="BF196" s="20">
        <f>M196</f>
        <v>0.5990274</v>
      </c>
      <c r="BH196" s="11">
        <f>G196*AO196</f>
        <v>0</v>
      </c>
      <c r="BI196" s="11">
        <f>G196*AP196</f>
        <v>0</v>
      </c>
      <c r="BJ196" s="11">
        <f>G196*H196</f>
        <v>0</v>
      </c>
      <c r="BK196" s="11" t="s">
        <v>981</v>
      </c>
      <c r="BL196" s="20">
        <v>62</v>
      </c>
    </row>
    <row r="197" spans="1:15" ht="12.75">
      <c r="A197" s="1"/>
      <c r="D197" s="8" t="s">
        <v>426</v>
      </c>
      <c r="E197" s="9" t="s">
        <v>796</v>
      </c>
      <c r="G197" s="12">
        <v>35.245</v>
      </c>
      <c r="N197" s="16"/>
      <c r="O197" s="1"/>
    </row>
    <row r="198" spans="1:15" ht="12.75">
      <c r="A198" s="1"/>
      <c r="D198" s="8" t="s">
        <v>428</v>
      </c>
      <c r="E198" s="9" t="s">
        <v>798</v>
      </c>
      <c r="G198" s="12">
        <v>36.281</v>
      </c>
      <c r="N198" s="16"/>
      <c r="O198" s="1"/>
    </row>
    <row r="199" spans="1:15" ht="12.75">
      <c r="A199" s="1"/>
      <c r="D199" s="8" t="s">
        <v>429</v>
      </c>
      <c r="E199" s="9" t="s">
        <v>799</v>
      </c>
      <c r="G199" s="12">
        <v>16.667</v>
      </c>
      <c r="N199" s="16"/>
      <c r="O199" s="1"/>
    </row>
    <row r="200" spans="1:15" ht="12.75">
      <c r="A200" s="1"/>
      <c r="D200" s="63" t="s">
        <v>435</v>
      </c>
      <c r="E200" s="63" t="s">
        <v>804</v>
      </c>
      <c r="G200" s="12">
        <v>8.736</v>
      </c>
      <c r="N200" s="16"/>
      <c r="O200" s="1"/>
    </row>
    <row r="201" spans="1:64" ht="12.75">
      <c r="A201" s="60" t="s">
        <v>41</v>
      </c>
      <c r="B201" s="5"/>
      <c r="C201" s="5" t="s">
        <v>203</v>
      </c>
      <c r="D201" s="176" t="s">
        <v>475</v>
      </c>
      <c r="E201" s="177"/>
      <c r="F201" s="5" t="s">
        <v>883</v>
      </c>
      <c r="G201" s="11">
        <v>132.23</v>
      </c>
      <c r="H201" s="103"/>
      <c r="I201" s="11">
        <f>G201*AO201</f>
        <v>0</v>
      </c>
      <c r="J201" s="11">
        <f>G201*AP201</f>
        <v>0</v>
      </c>
      <c r="K201" s="11">
        <f>G201*H201</f>
        <v>0</v>
      </c>
      <c r="L201" s="11">
        <v>3E-05</v>
      </c>
      <c r="M201" s="11">
        <f>G201*L201</f>
        <v>0.0039669</v>
      </c>
      <c r="N201" s="15" t="s">
        <v>912</v>
      </c>
      <c r="O201" s="1"/>
      <c r="Z201" s="20">
        <f>IF(AQ201="5",BJ201,0)</f>
        <v>0</v>
      </c>
      <c r="AB201" s="20">
        <f>IF(AQ201="1",BH201,0)</f>
        <v>0</v>
      </c>
      <c r="AC201" s="20">
        <f>IF(AQ201="1",BI201,0)</f>
        <v>0</v>
      </c>
      <c r="AD201" s="20">
        <f>IF(AQ201="7",BH201,0)</f>
        <v>0</v>
      </c>
      <c r="AE201" s="20">
        <f>IF(AQ201="7",BI201,0)</f>
        <v>0</v>
      </c>
      <c r="AF201" s="20">
        <f>IF(AQ201="2",BH201,0)</f>
        <v>0</v>
      </c>
      <c r="AG201" s="20">
        <f>IF(AQ201="2",BI201,0)</f>
        <v>0</v>
      </c>
      <c r="AH201" s="20">
        <f>IF(AQ201="0",BJ201,0)</f>
        <v>0</v>
      </c>
      <c r="AI201" s="14"/>
      <c r="AJ201" s="11">
        <f>IF(AN201=0,K201,0)</f>
        <v>0</v>
      </c>
      <c r="AK201" s="11">
        <f>IF(AN201=15,K201,0)</f>
        <v>0</v>
      </c>
      <c r="AL201" s="11">
        <f>IF(AN201=21,K201,0)</f>
        <v>0</v>
      </c>
      <c r="AN201" s="20">
        <v>21</v>
      </c>
      <c r="AO201" s="20">
        <f>H201*0.120109567113508</f>
        <v>0</v>
      </c>
      <c r="AP201" s="20">
        <f>H201*(1-0.120109567113508)</f>
        <v>0</v>
      </c>
      <c r="AQ201" s="21" t="s">
        <v>7</v>
      </c>
      <c r="AV201" s="20">
        <f>AW201+AX201</f>
        <v>0</v>
      </c>
      <c r="AW201" s="20">
        <f>G201*AO201</f>
        <v>0</v>
      </c>
      <c r="AX201" s="20">
        <f>G201*AP201</f>
        <v>0</v>
      </c>
      <c r="AY201" s="23" t="s">
        <v>933</v>
      </c>
      <c r="AZ201" s="23" t="s">
        <v>967</v>
      </c>
      <c r="BA201" s="14" t="s">
        <v>976</v>
      </c>
      <c r="BC201" s="20">
        <f>AW201+AX201</f>
        <v>0</v>
      </c>
      <c r="BD201" s="20">
        <f>H201/(100-BE201)*100</f>
        <v>0</v>
      </c>
      <c r="BE201" s="20">
        <v>0</v>
      </c>
      <c r="BF201" s="20">
        <f>M201</f>
        <v>0.0039669</v>
      </c>
      <c r="BH201" s="11">
        <f>G201*AO201</f>
        <v>0</v>
      </c>
      <c r="BI201" s="11">
        <f>G201*AP201</f>
        <v>0</v>
      </c>
      <c r="BJ201" s="11">
        <f>G201*H201</f>
        <v>0</v>
      </c>
      <c r="BK201" s="11" t="s">
        <v>981</v>
      </c>
      <c r="BL201" s="20">
        <v>62</v>
      </c>
    </row>
    <row r="202" spans="1:15" ht="12.75">
      <c r="A202" s="1"/>
      <c r="D202" s="8" t="s">
        <v>476</v>
      </c>
      <c r="E202" s="9" t="s">
        <v>796</v>
      </c>
      <c r="G202" s="12">
        <v>50.35</v>
      </c>
      <c r="N202" s="16"/>
      <c r="O202" s="1"/>
    </row>
    <row r="203" spans="1:15" ht="12.75">
      <c r="A203" s="1"/>
      <c r="D203" s="8" t="s">
        <v>477</v>
      </c>
      <c r="E203" s="9" t="s">
        <v>798</v>
      </c>
      <c r="G203" s="12">
        <v>51.83</v>
      </c>
      <c r="N203" s="16"/>
      <c r="O203" s="1"/>
    </row>
    <row r="204" spans="1:15" ht="12.75">
      <c r="A204" s="1"/>
      <c r="D204" s="8" t="s">
        <v>478</v>
      </c>
      <c r="E204" s="9" t="s">
        <v>799</v>
      </c>
      <c r="G204" s="12">
        <v>23.81</v>
      </c>
      <c r="N204" s="16"/>
      <c r="O204" s="1"/>
    </row>
    <row r="205" spans="1:15" ht="12.75">
      <c r="A205" s="1"/>
      <c r="D205" s="63" t="s">
        <v>479</v>
      </c>
      <c r="E205" s="63" t="s">
        <v>804</v>
      </c>
      <c r="G205" s="12">
        <v>6.24</v>
      </c>
      <c r="N205" s="16"/>
      <c r="O205" s="1"/>
    </row>
    <row r="206" spans="1:64" ht="12.75">
      <c r="A206" s="61" t="s">
        <v>42</v>
      </c>
      <c r="B206" s="7"/>
      <c r="C206" s="7" t="s">
        <v>204</v>
      </c>
      <c r="D206" s="179" t="s">
        <v>480</v>
      </c>
      <c r="E206" s="180"/>
      <c r="F206" s="7" t="s">
        <v>883</v>
      </c>
      <c r="G206" s="13">
        <v>132.23</v>
      </c>
      <c r="H206" s="104"/>
      <c r="I206" s="13">
        <f>G206*AO206</f>
        <v>0</v>
      </c>
      <c r="J206" s="13">
        <f>G206*AP206</f>
        <v>0</v>
      </c>
      <c r="K206" s="13">
        <f>G206*H206</f>
        <v>0</v>
      </c>
      <c r="L206" s="13">
        <v>0.00033</v>
      </c>
      <c r="M206" s="13">
        <f>G206*L206</f>
        <v>0.0436359</v>
      </c>
      <c r="N206" s="18" t="s">
        <v>912</v>
      </c>
      <c r="O206" s="1"/>
      <c r="Z206" s="20">
        <f>IF(AQ206="5",BJ206,0)</f>
        <v>0</v>
      </c>
      <c r="AB206" s="20">
        <f>IF(AQ206="1",BH206,0)</f>
        <v>0</v>
      </c>
      <c r="AC206" s="20">
        <f>IF(AQ206="1",BI206,0)</f>
        <v>0</v>
      </c>
      <c r="AD206" s="20">
        <f>IF(AQ206="7",BH206,0)</f>
        <v>0</v>
      </c>
      <c r="AE206" s="20">
        <f>IF(AQ206="7",BI206,0)</f>
        <v>0</v>
      </c>
      <c r="AF206" s="20">
        <f>IF(AQ206="2",BH206,0)</f>
        <v>0</v>
      </c>
      <c r="AG206" s="20">
        <f>IF(AQ206="2",BI206,0)</f>
        <v>0</v>
      </c>
      <c r="AH206" s="20">
        <f>IF(AQ206="0",BJ206,0)</f>
        <v>0</v>
      </c>
      <c r="AI206" s="14"/>
      <c r="AJ206" s="13">
        <f>IF(AN206=0,K206,0)</f>
        <v>0</v>
      </c>
      <c r="AK206" s="13">
        <f>IF(AN206=15,K206,0)</f>
        <v>0</v>
      </c>
      <c r="AL206" s="13">
        <f>IF(AN206=21,K206,0)</f>
        <v>0</v>
      </c>
      <c r="AN206" s="20">
        <v>21</v>
      </c>
      <c r="AO206" s="20">
        <f>H206*1</f>
        <v>0</v>
      </c>
      <c r="AP206" s="20">
        <f>H206*(1-1)</f>
        <v>0</v>
      </c>
      <c r="AQ206" s="22" t="s">
        <v>7</v>
      </c>
      <c r="AV206" s="20">
        <f>AW206+AX206</f>
        <v>0</v>
      </c>
      <c r="AW206" s="20">
        <f>G206*AO206</f>
        <v>0</v>
      </c>
      <c r="AX206" s="20">
        <f>G206*AP206</f>
        <v>0</v>
      </c>
      <c r="AY206" s="23" t="s">
        <v>933</v>
      </c>
      <c r="AZ206" s="23" t="s">
        <v>967</v>
      </c>
      <c r="BA206" s="14" t="s">
        <v>976</v>
      </c>
      <c r="BC206" s="20">
        <f>AW206+AX206</f>
        <v>0</v>
      </c>
      <c r="BD206" s="20">
        <f>H206/(100-BE206)*100</f>
        <v>0</v>
      </c>
      <c r="BE206" s="20">
        <v>0</v>
      </c>
      <c r="BF206" s="20">
        <f>M206</f>
        <v>0.0436359</v>
      </c>
      <c r="BH206" s="13">
        <f>G206*AO206</f>
        <v>0</v>
      </c>
      <c r="BI206" s="13">
        <f>G206*AP206</f>
        <v>0</v>
      </c>
      <c r="BJ206" s="13">
        <f>G206*H206</f>
        <v>0</v>
      </c>
      <c r="BK206" s="13" t="s">
        <v>982</v>
      </c>
      <c r="BL206" s="20">
        <v>62</v>
      </c>
    </row>
    <row r="207" spans="1:15" ht="12.75">
      <c r="A207" s="1"/>
      <c r="D207" s="8" t="s">
        <v>476</v>
      </c>
      <c r="E207" s="9" t="s">
        <v>796</v>
      </c>
      <c r="G207" s="12">
        <v>50.35</v>
      </c>
      <c r="N207" s="16"/>
      <c r="O207" s="1"/>
    </row>
    <row r="208" spans="1:15" ht="12.75">
      <c r="A208" s="1"/>
      <c r="D208" s="8" t="s">
        <v>477</v>
      </c>
      <c r="E208" s="9" t="s">
        <v>798</v>
      </c>
      <c r="G208" s="12">
        <v>51.83</v>
      </c>
      <c r="N208" s="16"/>
      <c r="O208" s="1"/>
    </row>
    <row r="209" spans="1:15" ht="12.75">
      <c r="A209" s="1"/>
      <c r="D209" s="8" t="s">
        <v>478</v>
      </c>
      <c r="E209" s="9" t="s">
        <v>799</v>
      </c>
      <c r="G209" s="12">
        <v>23.81</v>
      </c>
      <c r="N209" s="16"/>
      <c r="O209" s="1"/>
    </row>
    <row r="210" spans="1:15" ht="12.75">
      <c r="A210" s="1"/>
      <c r="D210" s="63" t="s">
        <v>479</v>
      </c>
      <c r="E210" s="63" t="s">
        <v>804</v>
      </c>
      <c r="G210" s="12">
        <v>6.24</v>
      </c>
      <c r="N210" s="16"/>
      <c r="O210" s="1"/>
    </row>
    <row r="211" spans="1:64" ht="12.75">
      <c r="A211" s="60" t="s">
        <v>1031</v>
      </c>
      <c r="B211" s="5"/>
      <c r="C211" s="5" t="s">
        <v>205</v>
      </c>
      <c r="D211" s="176" t="s">
        <v>481</v>
      </c>
      <c r="E211" s="177"/>
      <c r="F211" s="5" t="s">
        <v>883</v>
      </c>
      <c r="G211" s="11">
        <v>19.2</v>
      </c>
      <c r="H211" s="103"/>
      <c r="I211" s="11">
        <f>G211*AO211</f>
        <v>0</v>
      </c>
      <c r="J211" s="11">
        <f>G211*AP211</f>
        <v>0</v>
      </c>
      <c r="K211" s="11">
        <f>G211*H211</f>
        <v>0</v>
      </c>
      <c r="L211" s="11">
        <v>0</v>
      </c>
      <c r="M211" s="11">
        <f>G211*L211</f>
        <v>0</v>
      </c>
      <c r="N211" s="15" t="s">
        <v>912</v>
      </c>
      <c r="O211" s="1"/>
      <c r="Z211" s="20">
        <f>IF(AQ211="5",BJ211,0)</f>
        <v>0</v>
      </c>
      <c r="AB211" s="20">
        <f>IF(AQ211="1",BH211,0)</f>
        <v>0</v>
      </c>
      <c r="AC211" s="20">
        <f>IF(AQ211="1",BI211,0)</f>
        <v>0</v>
      </c>
      <c r="AD211" s="20">
        <f>IF(AQ211="7",BH211,0)</f>
        <v>0</v>
      </c>
      <c r="AE211" s="20">
        <f>IF(AQ211="7",BI211,0)</f>
        <v>0</v>
      </c>
      <c r="AF211" s="20">
        <f>IF(AQ211="2",BH211,0)</f>
        <v>0</v>
      </c>
      <c r="AG211" s="20">
        <f>IF(AQ211="2",BI211,0)</f>
        <v>0</v>
      </c>
      <c r="AH211" s="20">
        <f>IF(AQ211="0",BJ211,0)</f>
        <v>0</v>
      </c>
      <c r="AI211" s="14"/>
      <c r="AJ211" s="11">
        <f>IF(AN211=0,K211,0)</f>
        <v>0</v>
      </c>
      <c r="AK211" s="11">
        <f>IF(AN211=15,K211,0)</f>
        <v>0</v>
      </c>
      <c r="AL211" s="11">
        <f>IF(AN211=21,K211,0)</f>
        <v>0</v>
      </c>
      <c r="AN211" s="20">
        <v>21</v>
      </c>
      <c r="AO211" s="20">
        <f>H211*0</f>
        <v>0</v>
      </c>
      <c r="AP211" s="20">
        <f>H211*(1-0)</f>
        <v>0</v>
      </c>
      <c r="AQ211" s="21" t="s">
        <v>7</v>
      </c>
      <c r="AV211" s="20">
        <f>AW211+AX211</f>
        <v>0</v>
      </c>
      <c r="AW211" s="20">
        <f>G211*AO211</f>
        <v>0</v>
      </c>
      <c r="AX211" s="20">
        <f>G211*AP211</f>
        <v>0</v>
      </c>
      <c r="AY211" s="23" t="s">
        <v>933</v>
      </c>
      <c r="AZ211" s="23" t="s">
        <v>967</v>
      </c>
      <c r="BA211" s="14" t="s">
        <v>976</v>
      </c>
      <c r="BC211" s="20">
        <f>AW211+AX211</f>
        <v>0</v>
      </c>
      <c r="BD211" s="20">
        <f>H211/(100-BE211)*100</f>
        <v>0</v>
      </c>
      <c r="BE211" s="20">
        <v>0</v>
      </c>
      <c r="BF211" s="20">
        <f>M211</f>
        <v>0</v>
      </c>
      <c r="BH211" s="11">
        <f>G211*AO211</f>
        <v>0</v>
      </c>
      <c r="BI211" s="11">
        <f>G211*AP211</f>
        <v>0</v>
      </c>
      <c r="BJ211" s="11">
        <f>G211*H211</f>
        <v>0</v>
      </c>
      <c r="BK211" s="11" t="s">
        <v>981</v>
      </c>
      <c r="BL211" s="20">
        <v>62</v>
      </c>
    </row>
    <row r="212" spans="1:15" ht="12.75">
      <c r="A212" s="1"/>
      <c r="D212" s="8" t="s">
        <v>482</v>
      </c>
      <c r="E212" s="9"/>
      <c r="G212" s="12">
        <v>12.6</v>
      </c>
      <c r="N212" s="16"/>
      <c r="O212" s="1"/>
    </row>
    <row r="213" spans="1:15" ht="12.75">
      <c r="A213" s="1"/>
      <c r="D213" s="8" t="s">
        <v>483</v>
      </c>
      <c r="E213" s="9" t="s">
        <v>822</v>
      </c>
      <c r="G213" s="12">
        <v>6.6</v>
      </c>
      <c r="N213" s="16"/>
      <c r="O213" s="1"/>
    </row>
    <row r="214" spans="1:64" ht="12.75">
      <c r="A214" s="60" t="s">
        <v>43</v>
      </c>
      <c r="B214" s="5"/>
      <c r="C214" s="5" t="s">
        <v>206</v>
      </c>
      <c r="D214" s="176" t="s">
        <v>484</v>
      </c>
      <c r="E214" s="177"/>
      <c r="F214" s="5" t="s">
        <v>883</v>
      </c>
      <c r="G214" s="11">
        <v>19.2</v>
      </c>
      <c r="H214" s="103"/>
      <c r="I214" s="11">
        <f>G214*AO214</f>
        <v>0</v>
      </c>
      <c r="J214" s="11">
        <f>G214*AP214</f>
        <v>0</v>
      </c>
      <c r="K214" s="11">
        <f>G214*H214</f>
        <v>0</v>
      </c>
      <c r="L214" s="11">
        <v>0.00051</v>
      </c>
      <c r="M214" s="11">
        <f>G214*L214</f>
        <v>0.009792</v>
      </c>
      <c r="N214" s="15" t="s">
        <v>912</v>
      </c>
      <c r="O214" s="1"/>
      <c r="Z214" s="20">
        <f>IF(AQ214="5",BJ214,0)</f>
        <v>0</v>
      </c>
      <c r="AB214" s="20">
        <f>IF(AQ214="1",BH214,0)</f>
        <v>0</v>
      </c>
      <c r="AC214" s="20">
        <f>IF(AQ214="1",BI214,0)</f>
        <v>0</v>
      </c>
      <c r="AD214" s="20">
        <f>IF(AQ214="7",BH214,0)</f>
        <v>0</v>
      </c>
      <c r="AE214" s="20">
        <f>IF(AQ214="7",BI214,0)</f>
        <v>0</v>
      </c>
      <c r="AF214" s="20">
        <f>IF(AQ214="2",BH214,0)</f>
        <v>0</v>
      </c>
      <c r="AG214" s="20">
        <f>IF(AQ214="2",BI214,0)</f>
        <v>0</v>
      </c>
      <c r="AH214" s="20">
        <f>IF(AQ214="0",BJ214,0)</f>
        <v>0</v>
      </c>
      <c r="AI214" s="14"/>
      <c r="AJ214" s="11">
        <f>IF(AN214=0,K214,0)</f>
        <v>0</v>
      </c>
      <c r="AK214" s="11">
        <f>IF(AN214=15,K214,0)</f>
        <v>0</v>
      </c>
      <c r="AL214" s="11">
        <f>IF(AN214=21,K214,0)</f>
        <v>0</v>
      </c>
      <c r="AN214" s="20">
        <v>21</v>
      </c>
      <c r="AO214" s="20">
        <f>H214*0.690481695568401</f>
        <v>0</v>
      </c>
      <c r="AP214" s="20">
        <f>H214*(1-0.690481695568401)</f>
        <v>0</v>
      </c>
      <c r="AQ214" s="21" t="s">
        <v>7</v>
      </c>
      <c r="AV214" s="20">
        <f>AW214+AX214</f>
        <v>0</v>
      </c>
      <c r="AW214" s="20">
        <f>G214*AO214</f>
        <v>0</v>
      </c>
      <c r="AX214" s="20">
        <f>G214*AP214</f>
        <v>0</v>
      </c>
      <c r="AY214" s="23" t="s">
        <v>933</v>
      </c>
      <c r="AZ214" s="23" t="s">
        <v>967</v>
      </c>
      <c r="BA214" s="14" t="s">
        <v>976</v>
      </c>
      <c r="BC214" s="20">
        <f>AW214+AX214</f>
        <v>0</v>
      </c>
      <c r="BD214" s="20">
        <f>H214/(100-BE214)*100</f>
        <v>0</v>
      </c>
      <c r="BE214" s="20">
        <v>0</v>
      </c>
      <c r="BF214" s="20">
        <f>M214</f>
        <v>0.009792</v>
      </c>
      <c r="BH214" s="11">
        <f>G214*AO214</f>
        <v>0</v>
      </c>
      <c r="BI214" s="11">
        <f>G214*AP214</f>
        <v>0</v>
      </c>
      <c r="BJ214" s="11">
        <f>G214*H214</f>
        <v>0</v>
      </c>
      <c r="BK214" s="11" t="s">
        <v>981</v>
      </c>
      <c r="BL214" s="20">
        <v>62</v>
      </c>
    </row>
    <row r="215" spans="1:15" ht="12.75">
      <c r="A215" s="1"/>
      <c r="D215" s="8" t="s">
        <v>482</v>
      </c>
      <c r="E215" s="9"/>
      <c r="G215" s="12">
        <v>12.6</v>
      </c>
      <c r="N215" s="16"/>
      <c r="O215" s="1"/>
    </row>
    <row r="216" spans="1:15" ht="12.75">
      <c r="A216" s="1"/>
      <c r="D216" s="8" t="s">
        <v>483</v>
      </c>
      <c r="E216" s="9" t="s">
        <v>822</v>
      </c>
      <c r="G216" s="12">
        <v>6.6</v>
      </c>
      <c r="N216" s="16"/>
      <c r="O216" s="1"/>
    </row>
    <row r="217" spans="1:64" ht="12.75">
      <c r="A217" s="60" t="s">
        <v>44</v>
      </c>
      <c r="B217" s="5"/>
      <c r="C217" s="5" t="s">
        <v>207</v>
      </c>
      <c r="D217" s="176" t="s">
        <v>485</v>
      </c>
      <c r="E217" s="177"/>
      <c r="F217" s="5" t="s">
        <v>881</v>
      </c>
      <c r="G217" s="11">
        <v>88.19</v>
      </c>
      <c r="H217" s="103"/>
      <c r="I217" s="11">
        <f>G217*AO217</f>
        <v>0</v>
      </c>
      <c r="J217" s="11">
        <f>G217*AP217</f>
        <v>0</v>
      </c>
      <c r="K217" s="11">
        <f>G217*H217</f>
        <v>0</v>
      </c>
      <c r="L217" s="11">
        <v>0.03767</v>
      </c>
      <c r="M217" s="11">
        <f>G217*L217</f>
        <v>3.3221173</v>
      </c>
      <c r="N217" s="15" t="s">
        <v>912</v>
      </c>
      <c r="O217" s="1"/>
      <c r="Z217" s="20">
        <f>IF(AQ217="5",BJ217,0)</f>
        <v>0</v>
      </c>
      <c r="AB217" s="20">
        <f>IF(AQ217="1",BH217,0)</f>
        <v>0</v>
      </c>
      <c r="AC217" s="20">
        <f>IF(AQ217="1",BI217,0)</f>
        <v>0</v>
      </c>
      <c r="AD217" s="20">
        <f>IF(AQ217="7",BH217,0)</f>
        <v>0</v>
      </c>
      <c r="AE217" s="20">
        <f>IF(AQ217="7",BI217,0)</f>
        <v>0</v>
      </c>
      <c r="AF217" s="20">
        <f>IF(AQ217="2",BH217,0)</f>
        <v>0</v>
      </c>
      <c r="AG217" s="20">
        <f>IF(AQ217="2",BI217,0)</f>
        <v>0</v>
      </c>
      <c r="AH217" s="20">
        <f>IF(AQ217="0",BJ217,0)</f>
        <v>0</v>
      </c>
      <c r="AI217" s="14"/>
      <c r="AJ217" s="11">
        <f>IF(AN217=0,K217,0)</f>
        <v>0</v>
      </c>
      <c r="AK217" s="11">
        <f>IF(AN217=15,K217,0)</f>
        <v>0</v>
      </c>
      <c r="AL217" s="11">
        <f>IF(AN217=21,K217,0)</f>
        <v>0</v>
      </c>
      <c r="AN217" s="20">
        <v>21</v>
      </c>
      <c r="AO217" s="20">
        <f>H217*0.183807170610724</f>
        <v>0</v>
      </c>
      <c r="AP217" s="20">
        <f>H217*(1-0.183807170610724)</f>
        <v>0</v>
      </c>
      <c r="AQ217" s="21" t="s">
        <v>7</v>
      </c>
      <c r="AV217" s="20">
        <f>AW217+AX217</f>
        <v>0</v>
      </c>
      <c r="AW217" s="20">
        <f>G217*AO217</f>
        <v>0</v>
      </c>
      <c r="AX217" s="20">
        <f>G217*AP217</f>
        <v>0</v>
      </c>
      <c r="AY217" s="23" t="s">
        <v>933</v>
      </c>
      <c r="AZ217" s="23" t="s">
        <v>967</v>
      </c>
      <c r="BA217" s="14" t="s">
        <v>976</v>
      </c>
      <c r="BC217" s="20">
        <f>AW217+AX217</f>
        <v>0</v>
      </c>
      <c r="BD217" s="20">
        <f>H217/(100-BE217)*100</f>
        <v>0</v>
      </c>
      <c r="BE217" s="20">
        <v>0</v>
      </c>
      <c r="BF217" s="20">
        <f>M217</f>
        <v>3.3221173</v>
      </c>
      <c r="BH217" s="11">
        <f>G217*AO217</f>
        <v>0</v>
      </c>
      <c r="BI217" s="11">
        <f>G217*AP217</f>
        <v>0</v>
      </c>
      <c r="BJ217" s="11">
        <f>G217*H217</f>
        <v>0</v>
      </c>
      <c r="BK217" s="11" t="s">
        <v>981</v>
      </c>
      <c r="BL217" s="20">
        <v>62</v>
      </c>
    </row>
    <row r="218" spans="1:15" ht="12.75">
      <c r="A218" s="1"/>
      <c r="D218" s="8" t="s">
        <v>426</v>
      </c>
      <c r="E218" s="9" t="s">
        <v>796</v>
      </c>
      <c r="G218" s="12">
        <v>35.245</v>
      </c>
      <c r="N218" s="16"/>
      <c r="O218" s="1"/>
    </row>
    <row r="219" spans="1:15" ht="12.75">
      <c r="A219" s="1"/>
      <c r="D219" s="8" t="s">
        <v>428</v>
      </c>
      <c r="E219" s="9" t="s">
        <v>798</v>
      </c>
      <c r="G219" s="12">
        <v>36.281</v>
      </c>
      <c r="N219" s="16"/>
      <c r="O219" s="1"/>
    </row>
    <row r="220" spans="1:15" ht="12.75">
      <c r="A220" s="1"/>
      <c r="D220" s="8" t="s">
        <v>429</v>
      </c>
      <c r="E220" s="9" t="s">
        <v>799</v>
      </c>
      <c r="G220" s="12">
        <v>16.667</v>
      </c>
      <c r="N220" s="16"/>
      <c r="O220" s="1"/>
    </row>
    <row r="221" spans="1:64" ht="12.75">
      <c r="A221" s="60" t="s">
        <v>45</v>
      </c>
      <c r="B221" s="5"/>
      <c r="C221" s="5" t="s">
        <v>208</v>
      </c>
      <c r="D221" s="176" t="s">
        <v>1050</v>
      </c>
      <c r="E221" s="177"/>
      <c r="F221" s="5" t="s">
        <v>881</v>
      </c>
      <c r="G221" s="11">
        <v>666.05</v>
      </c>
      <c r="H221" s="103"/>
      <c r="I221" s="11">
        <f>G221*AO221</f>
        <v>0</v>
      </c>
      <c r="J221" s="11">
        <f>G221*AP221</f>
        <v>0</v>
      </c>
      <c r="K221" s="11">
        <f>G221*H221</f>
        <v>0</v>
      </c>
      <c r="L221" s="11">
        <v>0.04793</v>
      </c>
      <c r="M221" s="11">
        <f>G221*L221</f>
        <v>31.9237765</v>
      </c>
      <c r="N221" s="15" t="s">
        <v>912</v>
      </c>
      <c r="O221" s="1"/>
      <c r="Z221" s="20">
        <f>IF(AQ221="5",BJ221,0)</f>
        <v>0</v>
      </c>
      <c r="AB221" s="20">
        <f>IF(AQ221="1",BH221,0)</f>
        <v>0</v>
      </c>
      <c r="AC221" s="20">
        <f>IF(AQ221="1",BI221,0)</f>
        <v>0</v>
      </c>
      <c r="AD221" s="20">
        <f>IF(AQ221="7",BH221,0)</f>
        <v>0</v>
      </c>
      <c r="AE221" s="20">
        <f>IF(AQ221="7",BI221,0)</f>
        <v>0</v>
      </c>
      <c r="AF221" s="20">
        <f>IF(AQ221="2",BH221,0)</f>
        <v>0</v>
      </c>
      <c r="AG221" s="20">
        <f>IF(AQ221="2",BI221,0)</f>
        <v>0</v>
      </c>
      <c r="AH221" s="20">
        <f>IF(AQ221="0",BJ221,0)</f>
        <v>0</v>
      </c>
      <c r="AI221" s="14"/>
      <c r="AJ221" s="11">
        <f>IF(AN221=0,K221,0)</f>
        <v>0</v>
      </c>
      <c r="AK221" s="11">
        <f>IF(AN221=15,K221,0)</f>
        <v>0</v>
      </c>
      <c r="AL221" s="11">
        <f>IF(AN221=21,K221,0)</f>
        <v>0</v>
      </c>
      <c r="AN221" s="20">
        <v>21</v>
      </c>
      <c r="AO221" s="20">
        <f>H221*0.213350286156249</f>
        <v>0</v>
      </c>
      <c r="AP221" s="20">
        <f>H221*(1-0.213350286156249)</f>
        <v>0</v>
      </c>
      <c r="AQ221" s="21" t="s">
        <v>7</v>
      </c>
      <c r="AV221" s="20">
        <f>AW221+AX221</f>
        <v>0</v>
      </c>
      <c r="AW221" s="20">
        <f>G221*AO221</f>
        <v>0</v>
      </c>
      <c r="AX221" s="20">
        <f>G221*AP221</f>
        <v>0</v>
      </c>
      <c r="AY221" s="23" t="s">
        <v>933</v>
      </c>
      <c r="AZ221" s="23" t="s">
        <v>967</v>
      </c>
      <c r="BA221" s="14" t="s">
        <v>976</v>
      </c>
      <c r="BC221" s="20">
        <f>AW221+AX221</f>
        <v>0</v>
      </c>
      <c r="BD221" s="20">
        <f>H221/(100-BE221)*100</f>
        <v>0</v>
      </c>
      <c r="BE221" s="20">
        <v>0</v>
      </c>
      <c r="BF221" s="20">
        <f>M221</f>
        <v>31.9237765</v>
      </c>
      <c r="BH221" s="11">
        <f>G221*AO221</f>
        <v>0</v>
      </c>
      <c r="BI221" s="11">
        <f>G221*AP221</f>
        <v>0</v>
      </c>
      <c r="BJ221" s="11">
        <f>G221*H221</f>
        <v>0</v>
      </c>
      <c r="BK221" s="11" t="s">
        <v>981</v>
      </c>
      <c r="BL221" s="20">
        <v>62</v>
      </c>
    </row>
    <row r="222" spans="1:15" ht="12.75">
      <c r="A222" s="1"/>
      <c r="D222" s="8"/>
      <c r="E222" s="9" t="s">
        <v>1051</v>
      </c>
      <c r="G222" s="12"/>
      <c r="N222" s="16"/>
      <c r="O222" s="1"/>
    </row>
    <row r="223" spans="1:15" ht="12.75">
      <c r="A223" s="1"/>
      <c r="D223" s="8"/>
      <c r="E223" s="9"/>
      <c r="G223" s="12"/>
      <c r="N223" s="16"/>
      <c r="O223" s="1"/>
    </row>
    <row r="224" spans="1:15" ht="12.75">
      <c r="A224" s="1"/>
      <c r="D224" s="8"/>
      <c r="E224" s="9"/>
      <c r="G224" s="12"/>
      <c r="N224" s="16"/>
      <c r="O224" s="1"/>
    </row>
    <row r="225" spans="1:64" ht="12.75">
      <c r="A225" s="60" t="s">
        <v>46</v>
      </c>
      <c r="B225" s="5"/>
      <c r="C225" s="5" t="s">
        <v>209</v>
      </c>
      <c r="D225" s="176" t="s">
        <v>486</v>
      </c>
      <c r="E225" s="177"/>
      <c r="F225" s="5" t="s">
        <v>883</v>
      </c>
      <c r="G225" s="11">
        <v>401.67</v>
      </c>
      <c r="H225" s="103"/>
      <c r="I225" s="11">
        <f>G225*AO225</f>
        <v>0</v>
      </c>
      <c r="J225" s="11">
        <f>G225*AP225</f>
        <v>0</v>
      </c>
      <c r="K225" s="11">
        <f>G225*H225</f>
        <v>0</v>
      </c>
      <c r="L225" s="11">
        <v>0.00371</v>
      </c>
      <c r="M225" s="11">
        <f>G225*L225</f>
        <v>1.4901957000000001</v>
      </c>
      <c r="N225" s="15" t="s">
        <v>912</v>
      </c>
      <c r="O225" s="1"/>
      <c r="Z225" s="20">
        <f>IF(AQ225="5",BJ225,0)</f>
        <v>0</v>
      </c>
      <c r="AB225" s="20">
        <f>IF(AQ225="1",BH225,0)</f>
        <v>0</v>
      </c>
      <c r="AC225" s="20">
        <f>IF(AQ225="1",BI225,0)</f>
        <v>0</v>
      </c>
      <c r="AD225" s="20">
        <f>IF(AQ225="7",BH225,0)</f>
        <v>0</v>
      </c>
      <c r="AE225" s="20">
        <f>IF(AQ225="7",BI225,0)</f>
        <v>0</v>
      </c>
      <c r="AF225" s="20">
        <f>IF(AQ225="2",BH225,0)</f>
        <v>0</v>
      </c>
      <c r="AG225" s="20">
        <f>IF(AQ225="2",BI225,0)</f>
        <v>0</v>
      </c>
      <c r="AH225" s="20">
        <f>IF(AQ225="0",BJ225,0)</f>
        <v>0</v>
      </c>
      <c r="AI225" s="14"/>
      <c r="AJ225" s="11">
        <f>IF(AN225=0,K225,0)</f>
        <v>0</v>
      </c>
      <c r="AK225" s="11">
        <f>IF(AN225=15,K225,0)</f>
        <v>0</v>
      </c>
      <c r="AL225" s="11">
        <f>IF(AN225=21,K225,0)</f>
        <v>0</v>
      </c>
      <c r="AN225" s="20">
        <v>21</v>
      </c>
      <c r="AO225" s="20">
        <f>H225*0.0430481623214994</f>
        <v>0</v>
      </c>
      <c r="AP225" s="20">
        <f>H225*(1-0.0430481623214994)</f>
        <v>0</v>
      </c>
      <c r="AQ225" s="21" t="s">
        <v>7</v>
      </c>
      <c r="AV225" s="20">
        <f>AW225+AX225</f>
        <v>0</v>
      </c>
      <c r="AW225" s="20">
        <f>G225*AO225</f>
        <v>0</v>
      </c>
      <c r="AX225" s="20">
        <f>G225*AP225</f>
        <v>0</v>
      </c>
      <c r="AY225" s="23" t="s">
        <v>933</v>
      </c>
      <c r="AZ225" s="23" t="s">
        <v>967</v>
      </c>
      <c r="BA225" s="14" t="s">
        <v>976</v>
      </c>
      <c r="BC225" s="20">
        <f>AW225+AX225</f>
        <v>0</v>
      </c>
      <c r="BD225" s="20">
        <f>H225/(100-BE225)*100</f>
        <v>0</v>
      </c>
      <c r="BE225" s="20">
        <v>0</v>
      </c>
      <c r="BF225" s="20">
        <f>M225</f>
        <v>1.4901957000000001</v>
      </c>
      <c r="BH225" s="11">
        <f>G225*AO225</f>
        <v>0</v>
      </c>
      <c r="BI225" s="11">
        <f>G225*AP225</f>
        <v>0</v>
      </c>
      <c r="BJ225" s="11">
        <f>G225*H225</f>
        <v>0</v>
      </c>
      <c r="BK225" s="11" t="s">
        <v>981</v>
      </c>
      <c r="BL225" s="20">
        <v>62</v>
      </c>
    </row>
    <row r="226" spans="1:15" ht="12.75">
      <c r="A226" s="1"/>
      <c r="D226" s="8" t="s">
        <v>487</v>
      </c>
      <c r="E226" s="9" t="s">
        <v>805</v>
      </c>
      <c r="G226" s="12">
        <v>46.79</v>
      </c>
      <c r="N226" s="16"/>
      <c r="O226" s="1"/>
    </row>
    <row r="227" spans="1:15" ht="12.75">
      <c r="A227" s="1"/>
      <c r="D227" s="8" t="s">
        <v>488</v>
      </c>
      <c r="E227" s="9" t="s">
        <v>806</v>
      </c>
      <c r="G227" s="12">
        <v>28.79</v>
      </c>
      <c r="N227" s="16"/>
      <c r="O227" s="1"/>
    </row>
    <row r="228" spans="1:15" ht="12.75">
      <c r="A228" s="1"/>
      <c r="D228" s="8" t="s">
        <v>489</v>
      </c>
      <c r="E228" s="9" t="s">
        <v>807</v>
      </c>
      <c r="G228" s="12">
        <v>36.74</v>
      </c>
      <c r="N228" s="16"/>
      <c r="O228" s="1"/>
    </row>
    <row r="229" spans="1:15" ht="12.75">
      <c r="A229" s="1"/>
      <c r="D229" s="8" t="s">
        <v>490</v>
      </c>
      <c r="E229" s="9" t="s">
        <v>809</v>
      </c>
      <c r="G229" s="12">
        <v>78.58</v>
      </c>
      <c r="N229" s="16"/>
      <c r="O229" s="1"/>
    </row>
    <row r="230" spans="1:15" ht="12.75">
      <c r="A230" s="1"/>
      <c r="D230" s="8" t="s">
        <v>491</v>
      </c>
      <c r="E230" s="9" t="s">
        <v>808</v>
      </c>
      <c r="G230" s="12">
        <v>42.82</v>
      </c>
      <c r="N230" s="16"/>
      <c r="O230" s="1"/>
    </row>
    <row r="231" spans="1:15" ht="12.75">
      <c r="A231" s="1"/>
      <c r="D231" s="8" t="s">
        <v>492</v>
      </c>
      <c r="E231" s="9" t="s">
        <v>810</v>
      </c>
      <c r="G231" s="12">
        <v>24.665</v>
      </c>
      <c r="N231" s="16"/>
      <c r="O231" s="1"/>
    </row>
    <row r="232" spans="1:15" ht="12.75">
      <c r="A232" s="1"/>
      <c r="D232" s="8" t="s">
        <v>493</v>
      </c>
      <c r="E232" s="9" t="s">
        <v>811</v>
      </c>
      <c r="G232" s="12">
        <v>44.105</v>
      </c>
      <c r="N232" s="16"/>
      <c r="O232" s="1"/>
    </row>
    <row r="233" spans="1:15" ht="12.75">
      <c r="A233" s="1"/>
      <c r="D233" s="8" t="s">
        <v>494</v>
      </c>
      <c r="E233" s="9" t="s">
        <v>823</v>
      </c>
      <c r="G233" s="12">
        <v>33.64</v>
      </c>
      <c r="N233" s="16"/>
      <c r="O233" s="1"/>
    </row>
    <row r="234" spans="1:15" ht="12.75">
      <c r="A234" s="1"/>
      <c r="D234" s="8" t="s">
        <v>495</v>
      </c>
      <c r="E234" s="9" t="s">
        <v>824</v>
      </c>
      <c r="G234" s="12">
        <v>9</v>
      </c>
      <c r="N234" s="16"/>
      <c r="O234" s="1"/>
    </row>
    <row r="235" spans="1:15" ht="12.75">
      <c r="A235" s="1"/>
      <c r="D235" s="8" t="s">
        <v>496</v>
      </c>
      <c r="E235" s="9" t="s">
        <v>825</v>
      </c>
      <c r="G235" s="12">
        <v>12.6</v>
      </c>
      <c r="N235" s="16"/>
      <c r="O235" s="1"/>
    </row>
    <row r="236" spans="1:15" ht="12.75">
      <c r="A236" s="1"/>
      <c r="D236" s="8" t="s">
        <v>497</v>
      </c>
      <c r="E236" s="9" t="s">
        <v>826</v>
      </c>
      <c r="G236" s="12">
        <v>34.94</v>
      </c>
      <c r="N236" s="16"/>
      <c r="O236" s="1"/>
    </row>
    <row r="237" spans="1:15" ht="12.75">
      <c r="A237" s="1"/>
      <c r="D237" s="8" t="s">
        <v>495</v>
      </c>
      <c r="E237" s="9" t="s">
        <v>827</v>
      </c>
      <c r="G237" s="12">
        <v>9</v>
      </c>
      <c r="N237" s="16"/>
      <c r="O237" s="1"/>
    </row>
    <row r="238" spans="1:64" ht="12.75">
      <c r="A238" s="60" t="s">
        <v>47</v>
      </c>
      <c r="B238" s="5"/>
      <c r="C238" s="5" t="s">
        <v>210</v>
      </c>
      <c r="D238" s="176" t="s">
        <v>498</v>
      </c>
      <c r="E238" s="177"/>
      <c r="F238" s="5" t="s">
        <v>883</v>
      </c>
      <c r="G238" s="11">
        <v>401.67</v>
      </c>
      <c r="H238" s="103"/>
      <c r="I238" s="11">
        <f>G238*AO238</f>
        <v>0</v>
      </c>
      <c r="J238" s="11">
        <f>G238*AP238</f>
        <v>0</v>
      </c>
      <c r="K238" s="11">
        <f>G238*H238</f>
        <v>0</v>
      </c>
      <c r="L238" s="11">
        <v>3E-05</v>
      </c>
      <c r="M238" s="11">
        <f>G238*L238</f>
        <v>0.012050100000000001</v>
      </c>
      <c r="N238" s="15" t="s">
        <v>913</v>
      </c>
      <c r="O238" s="1"/>
      <c r="Z238" s="20">
        <f>IF(AQ238="5",BJ238,0)</f>
        <v>0</v>
      </c>
      <c r="AB238" s="20">
        <f>IF(AQ238="1",BH238,0)</f>
        <v>0</v>
      </c>
      <c r="AC238" s="20">
        <f>IF(AQ238="1",BI238,0)</f>
        <v>0</v>
      </c>
      <c r="AD238" s="20">
        <f>IF(AQ238="7",BH238,0)</f>
        <v>0</v>
      </c>
      <c r="AE238" s="20">
        <f>IF(AQ238="7",BI238,0)</f>
        <v>0</v>
      </c>
      <c r="AF238" s="20">
        <f>IF(AQ238="2",BH238,0)</f>
        <v>0</v>
      </c>
      <c r="AG238" s="20">
        <f>IF(AQ238="2",BI238,0)</f>
        <v>0</v>
      </c>
      <c r="AH238" s="20">
        <f>IF(AQ238="0",BJ238,0)</f>
        <v>0</v>
      </c>
      <c r="AI238" s="14"/>
      <c r="AJ238" s="11">
        <f>IF(AN238=0,K238,0)</f>
        <v>0</v>
      </c>
      <c r="AK238" s="11">
        <f>IF(AN238=15,K238,0)</f>
        <v>0</v>
      </c>
      <c r="AL238" s="11">
        <f>IF(AN238=21,K238,0)</f>
        <v>0</v>
      </c>
      <c r="AN238" s="20">
        <v>21</v>
      </c>
      <c r="AO238" s="20">
        <f>H238*0.126906274680844</f>
        <v>0</v>
      </c>
      <c r="AP238" s="20">
        <f>H238*(1-0.126906274680844)</f>
        <v>0</v>
      </c>
      <c r="AQ238" s="21" t="s">
        <v>7</v>
      </c>
      <c r="AV238" s="20">
        <f>AW238+AX238</f>
        <v>0</v>
      </c>
      <c r="AW238" s="20">
        <f>G238*AO238</f>
        <v>0</v>
      </c>
      <c r="AX238" s="20">
        <f>G238*AP238</f>
        <v>0</v>
      </c>
      <c r="AY238" s="23" t="s">
        <v>933</v>
      </c>
      <c r="AZ238" s="23" t="s">
        <v>967</v>
      </c>
      <c r="BA238" s="14" t="s">
        <v>976</v>
      </c>
      <c r="BC238" s="20">
        <f>AW238+AX238</f>
        <v>0</v>
      </c>
      <c r="BD238" s="20">
        <f>H238/(100-BE238)*100</f>
        <v>0</v>
      </c>
      <c r="BE238" s="20">
        <v>0</v>
      </c>
      <c r="BF238" s="20">
        <f>M238</f>
        <v>0.012050100000000001</v>
      </c>
      <c r="BH238" s="11">
        <f>G238*AO238</f>
        <v>0</v>
      </c>
      <c r="BI238" s="11">
        <f>G238*AP238</f>
        <v>0</v>
      </c>
      <c r="BJ238" s="11">
        <f>G238*H238</f>
        <v>0</v>
      </c>
      <c r="BK238" s="11" t="s">
        <v>981</v>
      </c>
      <c r="BL238" s="20">
        <v>62</v>
      </c>
    </row>
    <row r="239" spans="1:15" ht="12.75">
      <c r="A239" s="1"/>
      <c r="D239" s="8" t="s">
        <v>487</v>
      </c>
      <c r="E239" s="9" t="s">
        <v>805</v>
      </c>
      <c r="G239" s="12">
        <v>46.79</v>
      </c>
      <c r="N239" s="16"/>
      <c r="O239" s="1"/>
    </row>
    <row r="240" spans="1:15" ht="12.75">
      <c r="A240" s="1"/>
      <c r="D240" s="8" t="s">
        <v>488</v>
      </c>
      <c r="E240" s="9" t="s">
        <v>806</v>
      </c>
      <c r="G240" s="12">
        <v>28.79</v>
      </c>
      <c r="N240" s="16"/>
      <c r="O240" s="1"/>
    </row>
    <row r="241" spans="1:15" ht="12.75">
      <c r="A241" s="1"/>
      <c r="D241" s="8" t="s">
        <v>489</v>
      </c>
      <c r="E241" s="9" t="s">
        <v>807</v>
      </c>
      <c r="G241" s="12">
        <v>36.74</v>
      </c>
      <c r="N241" s="16"/>
      <c r="O241" s="1"/>
    </row>
    <row r="242" spans="1:15" ht="12.75">
      <c r="A242" s="1"/>
      <c r="D242" s="8" t="s">
        <v>490</v>
      </c>
      <c r="E242" s="9" t="s">
        <v>809</v>
      </c>
      <c r="G242" s="12">
        <v>78.58</v>
      </c>
      <c r="N242" s="16"/>
      <c r="O242" s="1"/>
    </row>
    <row r="243" spans="1:15" ht="12.75">
      <c r="A243" s="1"/>
      <c r="D243" s="8" t="s">
        <v>491</v>
      </c>
      <c r="E243" s="9" t="s">
        <v>808</v>
      </c>
      <c r="G243" s="12">
        <v>42.82</v>
      </c>
      <c r="N243" s="16"/>
      <c r="O243" s="1"/>
    </row>
    <row r="244" spans="1:15" ht="12.75">
      <c r="A244" s="1"/>
      <c r="D244" s="8" t="s">
        <v>492</v>
      </c>
      <c r="E244" s="9" t="s">
        <v>810</v>
      </c>
      <c r="G244" s="12">
        <v>24.665</v>
      </c>
      <c r="N244" s="16"/>
      <c r="O244" s="1"/>
    </row>
    <row r="245" spans="1:15" ht="12.75">
      <c r="A245" s="1"/>
      <c r="D245" s="8" t="s">
        <v>493</v>
      </c>
      <c r="E245" s="9" t="s">
        <v>811</v>
      </c>
      <c r="G245" s="12">
        <v>44.105</v>
      </c>
      <c r="N245" s="16"/>
      <c r="O245" s="1"/>
    </row>
    <row r="246" spans="1:15" ht="12.75">
      <c r="A246" s="1"/>
      <c r="D246" s="8" t="s">
        <v>494</v>
      </c>
      <c r="E246" s="9" t="s">
        <v>823</v>
      </c>
      <c r="G246" s="12">
        <v>33.64</v>
      </c>
      <c r="N246" s="16"/>
      <c r="O246" s="1"/>
    </row>
    <row r="247" spans="1:15" ht="12.75">
      <c r="A247" s="1"/>
      <c r="D247" s="8" t="s">
        <v>495</v>
      </c>
      <c r="E247" s="9" t="s">
        <v>824</v>
      </c>
      <c r="G247" s="12">
        <v>9</v>
      </c>
      <c r="N247" s="16"/>
      <c r="O247" s="1"/>
    </row>
    <row r="248" spans="1:15" ht="12.75">
      <c r="A248" s="1"/>
      <c r="D248" s="8" t="s">
        <v>496</v>
      </c>
      <c r="E248" s="9" t="s">
        <v>825</v>
      </c>
      <c r="G248" s="12">
        <v>12.6</v>
      </c>
      <c r="N248" s="16"/>
      <c r="O248" s="1"/>
    </row>
    <row r="249" spans="1:15" ht="12.75">
      <c r="A249" s="1"/>
      <c r="D249" s="8" t="s">
        <v>497</v>
      </c>
      <c r="E249" s="9" t="s">
        <v>826</v>
      </c>
      <c r="G249" s="12">
        <v>34.94</v>
      </c>
      <c r="N249" s="16"/>
      <c r="O249" s="1"/>
    </row>
    <row r="250" spans="1:15" ht="12.75">
      <c r="A250" s="1"/>
      <c r="D250" s="8" t="s">
        <v>495</v>
      </c>
      <c r="E250" s="9" t="s">
        <v>827</v>
      </c>
      <c r="G250" s="12">
        <v>9</v>
      </c>
      <c r="N250" s="16"/>
      <c r="O250" s="1"/>
    </row>
    <row r="251" spans="1:64" ht="12.75">
      <c r="A251" s="61" t="s">
        <v>48</v>
      </c>
      <c r="B251" s="7"/>
      <c r="C251" s="7" t="s">
        <v>211</v>
      </c>
      <c r="D251" s="179" t="s">
        <v>499</v>
      </c>
      <c r="E251" s="180"/>
      <c r="F251" s="7" t="s">
        <v>883</v>
      </c>
      <c r="G251" s="13">
        <v>123.8</v>
      </c>
      <c r="H251" s="104"/>
      <c r="I251" s="13">
        <f>G251*AO251</f>
        <v>0</v>
      </c>
      <c r="J251" s="13">
        <f>G251*AP251</f>
        <v>0</v>
      </c>
      <c r="K251" s="13">
        <f>G251*H251</f>
        <v>0</v>
      </c>
      <c r="L251" s="13">
        <v>1E-05</v>
      </c>
      <c r="M251" s="13">
        <f>G251*L251</f>
        <v>0.0012380000000000002</v>
      </c>
      <c r="N251" s="18" t="s">
        <v>913</v>
      </c>
      <c r="O251" s="1"/>
      <c r="Z251" s="20">
        <f>IF(AQ251="5",BJ251,0)</f>
        <v>0</v>
      </c>
      <c r="AB251" s="20">
        <f>IF(AQ251="1",BH251,0)</f>
        <v>0</v>
      </c>
      <c r="AC251" s="20">
        <f>IF(AQ251="1",BI251,0)</f>
        <v>0</v>
      </c>
      <c r="AD251" s="20">
        <f>IF(AQ251="7",BH251,0)</f>
        <v>0</v>
      </c>
      <c r="AE251" s="20">
        <f>IF(AQ251="7",BI251,0)</f>
        <v>0</v>
      </c>
      <c r="AF251" s="20">
        <f>IF(AQ251="2",BH251,0)</f>
        <v>0</v>
      </c>
      <c r="AG251" s="20">
        <f>IF(AQ251="2",BI251,0)</f>
        <v>0</v>
      </c>
      <c r="AH251" s="20">
        <f>IF(AQ251="0",BJ251,0)</f>
        <v>0</v>
      </c>
      <c r="AI251" s="14"/>
      <c r="AJ251" s="13">
        <f>IF(AN251=0,K251,0)</f>
        <v>0</v>
      </c>
      <c r="AK251" s="13">
        <f>IF(AN251=15,K251,0)</f>
        <v>0</v>
      </c>
      <c r="AL251" s="13">
        <f>IF(AN251=21,K251,0)</f>
        <v>0</v>
      </c>
      <c r="AN251" s="20">
        <v>21</v>
      </c>
      <c r="AO251" s="20">
        <f>H251*1</f>
        <v>0</v>
      </c>
      <c r="AP251" s="20">
        <f>H251*(1-1)</f>
        <v>0</v>
      </c>
      <c r="AQ251" s="22" t="s">
        <v>7</v>
      </c>
      <c r="AV251" s="20">
        <f>AW251+AX251</f>
        <v>0</v>
      </c>
      <c r="AW251" s="20">
        <f>G251*AO251</f>
        <v>0</v>
      </c>
      <c r="AX251" s="20">
        <f>G251*AP251</f>
        <v>0</v>
      </c>
      <c r="AY251" s="23" t="s">
        <v>933</v>
      </c>
      <c r="AZ251" s="23" t="s">
        <v>967</v>
      </c>
      <c r="BA251" s="14" t="s">
        <v>976</v>
      </c>
      <c r="BC251" s="20">
        <f>AW251+AX251</f>
        <v>0</v>
      </c>
      <c r="BD251" s="20">
        <f>H251/(100-BE251)*100</f>
        <v>0</v>
      </c>
      <c r="BE251" s="20">
        <v>0</v>
      </c>
      <c r="BF251" s="20">
        <f>M251</f>
        <v>0.0012380000000000002</v>
      </c>
      <c r="BH251" s="13">
        <f>G251*AO251</f>
        <v>0</v>
      </c>
      <c r="BI251" s="13">
        <f>G251*AP251</f>
        <v>0</v>
      </c>
      <c r="BJ251" s="13">
        <f>G251*H251</f>
        <v>0</v>
      </c>
      <c r="BK251" s="13" t="s">
        <v>982</v>
      </c>
      <c r="BL251" s="20">
        <v>62</v>
      </c>
    </row>
    <row r="252" spans="1:15" ht="12.75">
      <c r="A252" s="1"/>
      <c r="D252" s="8" t="s">
        <v>500</v>
      </c>
      <c r="E252" s="9" t="s">
        <v>805</v>
      </c>
      <c r="G252" s="12">
        <v>17.54</v>
      </c>
      <c r="N252" s="16"/>
      <c r="O252" s="1"/>
    </row>
    <row r="253" spans="1:15" ht="12.75">
      <c r="A253" s="1"/>
      <c r="D253" s="8" t="s">
        <v>501</v>
      </c>
      <c r="E253" s="9" t="s">
        <v>806</v>
      </c>
      <c r="G253" s="12">
        <v>16.96</v>
      </c>
      <c r="N253" s="16"/>
      <c r="O253" s="1"/>
    </row>
    <row r="254" spans="1:15" ht="12.75">
      <c r="A254" s="1"/>
      <c r="D254" s="8" t="s">
        <v>502</v>
      </c>
      <c r="E254" s="9" t="s">
        <v>807</v>
      </c>
      <c r="G254" s="12">
        <v>12.74</v>
      </c>
      <c r="N254" s="16"/>
      <c r="O254" s="1"/>
    </row>
    <row r="255" spans="1:15" ht="12.75">
      <c r="A255" s="1"/>
      <c r="D255" s="8" t="s">
        <v>503</v>
      </c>
      <c r="E255" s="9" t="s">
        <v>809</v>
      </c>
      <c r="G255" s="12">
        <v>39.74</v>
      </c>
      <c r="N255" s="16"/>
      <c r="O255" s="1"/>
    </row>
    <row r="256" spans="1:15" ht="12.75">
      <c r="A256" s="1"/>
      <c r="D256" s="8" t="s">
        <v>504</v>
      </c>
      <c r="E256" s="9" t="s">
        <v>808</v>
      </c>
      <c r="G256" s="12">
        <v>16.74</v>
      </c>
      <c r="N256" s="16"/>
      <c r="O256" s="1"/>
    </row>
    <row r="257" spans="1:15" ht="12.75">
      <c r="A257" s="1"/>
      <c r="D257" s="8" t="s">
        <v>505</v>
      </c>
      <c r="E257" s="9" t="s">
        <v>810</v>
      </c>
      <c r="G257" s="12">
        <v>8.33</v>
      </c>
      <c r="N257" s="16"/>
      <c r="O257" s="1"/>
    </row>
    <row r="258" spans="1:15" ht="12.75">
      <c r="A258" s="1"/>
      <c r="D258" s="8" t="s">
        <v>506</v>
      </c>
      <c r="E258" s="9" t="s">
        <v>811</v>
      </c>
      <c r="G258" s="12">
        <v>11.75</v>
      </c>
      <c r="N258" s="16"/>
      <c r="O258" s="1"/>
    </row>
    <row r="259" spans="1:64" ht="12.75">
      <c r="A259" s="61" t="s">
        <v>49</v>
      </c>
      <c r="B259" s="7"/>
      <c r="C259" s="7" t="s">
        <v>212</v>
      </c>
      <c r="D259" s="179" t="s">
        <v>507</v>
      </c>
      <c r="E259" s="180"/>
      <c r="F259" s="7" t="s">
        <v>883</v>
      </c>
      <c r="G259" s="13">
        <v>176.19</v>
      </c>
      <c r="H259" s="104"/>
      <c r="I259" s="13">
        <f>G259*AO259</f>
        <v>0</v>
      </c>
      <c r="J259" s="13">
        <f>G259*AP259</f>
        <v>0</v>
      </c>
      <c r="K259" s="13">
        <f>G259*H259</f>
        <v>0</v>
      </c>
      <c r="L259" s="13">
        <v>0.0001</v>
      </c>
      <c r="M259" s="13">
        <f>G259*L259</f>
        <v>0.017619</v>
      </c>
      <c r="N259" s="18" t="s">
        <v>912</v>
      </c>
      <c r="O259" s="1"/>
      <c r="Z259" s="20">
        <f>IF(AQ259="5",BJ259,0)</f>
        <v>0</v>
      </c>
      <c r="AB259" s="20">
        <f>IF(AQ259="1",BH259,0)</f>
        <v>0</v>
      </c>
      <c r="AC259" s="20">
        <f>IF(AQ259="1",BI259,0)</f>
        <v>0</v>
      </c>
      <c r="AD259" s="20">
        <f>IF(AQ259="7",BH259,0)</f>
        <v>0</v>
      </c>
      <c r="AE259" s="20">
        <f>IF(AQ259="7",BI259,0)</f>
        <v>0</v>
      </c>
      <c r="AF259" s="20">
        <f>IF(AQ259="2",BH259,0)</f>
        <v>0</v>
      </c>
      <c r="AG259" s="20">
        <f>IF(AQ259="2",BI259,0)</f>
        <v>0</v>
      </c>
      <c r="AH259" s="20">
        <f>IF(AQ259="0",BJ259,0)</f>
        <v>0</v>
      </c>
      <c r="AI259" s="14"/>
      <c r="AJ259" s="13">
        <f>IF(AN259=0,K259,0)</f>
        <v>0</v>
      </c>
      <c r="AK259" s="13">
        <f>IF(AN259=15,K259,0)</f>
        <v>0</v>
      </c>
      <c r="AL259" s="13">
        <f>IF(AN259=21,K259,0)</f>
        <v>0</v>
      </c>
      <c r="AN259" s="20">
        <v>21</v>
      </c>
      <c r="AO259" s="20">
        <f>H259*1</f>
        <v>0</v>
      </c>
      <c r="AP259" s="20">
        <f>H259*(1-1)</f>
        <v>0</v>
      </c>
      <c r="AQ259" s="22" t="s">
        <v>7</v>
      </c>
      <c r="AV259" s="20">
        <f>AW259+AX259</f>
        <v>0</v>
      </c>
      <c r="AW259" s="20">
        <f>G259*AO259</f>
        <v>0</v>
      </c>
      <c r="AX259" s="20">
        <f>G259*AP259</f>
        <v>0</v>
      </c>
      <c r="AY259" s="23" t="s">
        <v>933</v>
      </c>
      <c r="AZ259" s="23" t="s">
        <v>967</v>
      </c>
      <c r="BA259" s="14" t="s">
        <v>976</v>
      </c>
      <c r="BC259" s="20">
        <f>AW259+AX259</f>
        <v>0</v>
      </c>
      <c r="BD259" s="20">
        <f>H259/(100-BE259)*100</f>
        <v>0</v>
      </c>
      <c r="BE259" s="20">
        <v>0</v>
      </c>
      <c r="BF259" s="20">
        <f>M259</f>
        <v>0.017619</v>
      </c>
      <c r="BH259" s="13">
        <f>G259*AO259</f>
        <v>0</v>
      </c>
      <c r="BI259" s="13">
        <f>G259*AP259</f>
        <v>0</v>
      </c>
      <c r="BJ259" s="13">
        <f>G259*H259</f>
        <v>0</v>
      </c>
      <c r="BK259" s="13" t="s">
        <v>982</v>
      </c>
      <c r="BL259" s="20">
        <v>62</v>
      </c>
    </row>
    <row r="260" spans="1:15" ht="12.75">
      <c r="A260" s="1"/>
      <c r="D260" s="8" t="s">
        <v>487</v>
      </c>
      <c r="E260" s="9" t="s">
        <v>805</v>
      </c>
      <c r="G260" s="12">
        <v>46.79</v>
      </c>
      <c r="N260" s="16"/>
      <c r="O260" s="1"/>
    </row>
    <row r="261" spans="1:15" ht="12.75">
      <c r="A261" s="1"/>
      <c r="D261" s="8" t="s">
        <v>488</v>
      </c>
      <c r="E261" s="9" t="s">
        <v>806</v>
      </c>
      <c r="G261" s="12">
        <v>28.79</v>
      </c>
      <c r="N261" s="16"/>
      <c r="O261" s="1"/>
    </row>
    <row r="262" spans="1:15" ht="12.75">
      <c r="A262" s="1"/>
      <c r="D262" s="8" t="s">
        <v>489</v>
      </c>
      <c r="E262" s="9" t="s">
        <v>807</v>
      </c>
      <c r="G262" s="12">
        <v>36.74</v>
      </c>
      <c r="N262" s="16"/>
      <c r="O262" s="1"/>
    </row>
    <row r="263" spans="1:15" ht="12.75">
      <c r="A263" s="1"/>
      <c r="D263" s="8" t="s">
        <v>490</v>
      </c>
      <c r="E263" s="9" t="s">
        <v>809</v>
      </c>
      <c r="G263" s="12">
        <v>78.58</v>
      </c>
      <c r="N263" s="16"/>
      <c r="O263" s="1"/>
    </row>
    <row r="264" spans="1:15" ht="12.75">
      <c r="A264" s="1"/>
      <c r="D264" s="8" t="s">
        <v>491</v>
      </c>
      <c r="E264" s="9" t="s">
        <v>808</v>
      </c>
      <c r="G264" s="12">
        <v>42.82</v>
      </c>
      <c r="N264" s="16"/>
      <c r="O264" s="1"/>
    </row>
    <row r="265" spans="1:15" ht="12.75">
      <c r="A265" s="1"/>
      <c r="D265" s="8" t="s">
        <v>492</v>
      </c>
      <c r="E265" s="9" t="s">
        <v>810</v>
      </c>
      <c r="G265" s="12">
        <v>24.665</v>
      </c>
      <c r="N265" s="16"/>
      <c r="O265" s="1"/>
    </row>
    <row r="266" spans="1:15" ht="12.75">
      <c r="A266" s="1"/>
      <c r="D266" s="8" t="s">
        <v>493</v>
      </c>
      <c r="E266" s="9" t="s">
        <v>811</v>
      </c>
      <c r="G266" s="12">
        <v>44.105</v>
      </c>
      <c r="N266" s="16"/>
      <c r="O266" s="1"/>
    </row>
    <row r="267" spans="1:15" ht="12.75">
      <c r="A267" s="1"/>
      <c r="D267" s="8" t="s">
        <v>508</v>
      </c>
      <c r="E267" s="9" t="s">
        <v>828</v>
      </c>
      <c r="G267" s="12">
        <v>-126.3</v>
      </c>
      <c r="N267" s="16"/>
      <c r="O267" s="1"/>
    </row>
    <row r="268" spans="1:64" ht="12.75">
      <c r="A268" s="61" t="s">
        <v>50</v>
      </c>
      <c r="B268" s="7"/>
      <c r="C268" s="7" t="s">
        <v>213</v>
      </c>
      <c r="D268" s="179" t="s">
        <v>509</v>
      </c>
      <c r="E268" s="180"/>
      <c r="F268" s="7" t="s">
        <v>886</v>
      </c>
      <c r="G268" s="13">
        <v>73.41</v>
      </c>
      <c r="H268" s="104"/>
      <c r="I268" s="13">
        <f>G268*AO268</f>
        <v>0</v>
      </c>
      <c r="J268" s="13">
        <f>G268*AP268</f>
        <v>0</v>
      </c>
      <c r="K268" s="13">
        <f>G268*H268</f>
        <v>0</v>
      </c>
      <c r="L268" s="13">
        <v>0.0002</v>
      </c>
      <c r="M268" s="13">
        <f>G268*L268</f>
        <v>0.014682</v>
      </c>
      <c r="N268" s="18" t="s">
        <v>912</v>
      </c>
      <c r="O268" s="1"/>
      <c r="Z268" s="20">
        <f>IF(AQ268="5",BJ268,0)</f>
        <v>0</v>
      </c>
      <c r="AB268" s="20">
        <f>IF(AQ268="1",BH268,0)</f>
        <v>0</v>
      </c>
      <c r="AC268" s="20">
        <f>IF(AQ268="1",BI268,0)</f>
        <v>0</v>
      </c>
      <c r="AD268" s="20">
        <f>IF(AQ268="7",BH268,0)</f>
        <v>0</v>
      </c>
      <c r="AE268" s="20">
        <f>IF(AQ268="7",BI268,0)</f>
        <v>0</v>
      </c>
      <c r="AF268" s="20">
        <f>IF(AQ268="2",BH268,0)</f>
        <v>0</v>
      </c>
      <c r="AG268" s="20">
        <f>IF(AQ268="2",BI268,0)</f>
        <v>0</v>
      </c>
      <c r="AH268" s="20">
        <f>IF(AQ268="0",BJ268,0)</f>
        <v>0</v>
      </c>
      <c r="AI268" s="14"/>
      <c r="AJ268" s="13">
        <f>IF(AN268=0,K268,0)</f>
        <v>0</v>
      </c>
      <c r="AK268" s="13">
        <f>IF(AN268=15,K268,0)</f>
        <v>0</v>
      </c>
      <c r="AL268" s="13">
        <f>IF(AN268=21,K268,0)</f>
        <v>0</v>
      </c>
      <c r="AN268" s="20">
        <v>21</v>
      </c>
      <c r="AO268" s="20">
        <f>H268*1</f>
        <v>0</v>
      </c>
      <c r="AP268" s="20">
        <f>H268*(1-1)</f>
        <v>0</v>
      </c>
      <c r="AQ268" s="22" t="s">
        <v>7</v>
      </c>
      <c r="AV268" s="20">
        <f>AW268+AX268</f>
        <v>0</v>
      </c>
      <c r="AW268" s="20">
        <f>G268*AO268</f>
        <v>0</v>
      </c>
      <c r="AX268" s="20">
        <f>G268*AP268</f>
        <v>0</v>
      </c>
      <c r="AY268" s="23" t="s">
        <v>933</v>
      </c>
      <c r="AZ268" s="23" t="s">
        <v>967</v>
      </c>
      <c r="BA268" s="14" t="s">
        <v>976</v>
      </c>
      <c r="BC268" s="20">
        <f>AW268+AX268</f>
        <v>0</v>
      </c>
      <c r="BD268" s="20">
        <f>H268/(100-BE268)*100</f>
        <v>0</v>
      </c>
      <c r="BE268" s="20">
        <v>0</v>
      </c>
      <c r="BF268" s="20">
        <f>M268</f>
        <v>0.014682</v>
      </c>
      <c r="BH268" s="13">
        <f>G268*AO268</f>
        <v>0</v>
      </c>
      <c r="BI268" s="13">
        <f>G268*AP268</f>
        <v>0</v>
      </c>
      <c r="BJ268" s="13">
        <f>G268*H268</f>
        <v>0</v>
      </c>
      <c r="BK268" s="13" t="s">
        <v>982</v>
      </c>
      <c r="BL268" s="20">
        <v>62</v>
      </c>
    </row>
    <row r="269" spans="1:15" ht="12.75">
      <c r="A269" s="1"/>
      <c r="D269" s="8" t="s">
        <v>510</v>
      </c>
      <c r="E269" s="9" t="s">
        <v>805</v>
      </c>
      <c r="G269" s="12">
        <v>19.49583</v>
      </c>
      <c r="N269" s="16"/>
      <c r="O269" s="1"/>
    </row>
    <row r="270" spans="1:15" ht="12.75">
      <c r="A270" s="1"/>
      <c r="D270" s="8" t="s">
        <v>511</v>
      </c>
      <c r="E270" s="9" t="s">
        <v>806</v>
      </c>
      <c r="G270" s="12">
        <v>11.99583</v>
      </c>
      <c r="N270" s="16"/>
      <c r="O270" s="1"/>
    </row>
    <row r="271" spans="1:15" ht="12.75">
      <c r="A271" s="1"/>
      <c r="D271" s="8" t="s">
        <v>512</v>
      </c>
      <c r="E271" s="9" t="s">
        <v>807</v>
      </c>
      <c r="G271" s="12">
        <v>15.30833</v>
      </c>
      <c r="N271" s="16"/>
      <c r="O271" s="1"/>
    </row>
    <row r="272" spans="1:15" ht="12.75">
      <c r="A272" s="1"/>
      <c r="D272" s="8" t="s">
        <v>513</v>
      </c>
      <c r="E272" s="9" t="s">
        <v>809</v>
      </c>
      <c r="G272" s="12">
        <v>32.74167</v>
      </c>
      <c r="N272" s="16"/>
      <c r="O272" s="1"/>
    </row>
    <row r="273" spans="1:15" ht="12.75">
      <c r="A273" s="1"/>
      <c r="D273" s="8" t="s">
        <v>514</v>
      </c>
      <c r="E273" s="9" t="s">
        <v>808</v>
      </c>
      <c r="G273" s="12">
        <v>17.84167</v>
      </c>
      <c r="N273" s="16"/>
      <c r="O273" s="1"/>
    </row>
    <row r="274" spans="1:15" ht="12.75">
      <c r="A274" s="1"/>
      <c r="D274" s="8" t="s">
        <v>515</v>
      </c>
      <c r="E274" s="9" t="s">
        <v>810</v>
      </c>
      <c r="G274" s="12">
        <v>10.27708</v>
      </c>
      <c r="N274" s="16"/>
      <c r="O274" s="1"/>
    </row>
    <row r="275" spans="1:15" ht="12.75">
      <c r="A275" s="1"/>
      <c r="D275" s="8" t="s">
        <v>516</v>
      </c>
      <c r="E275" s="9" t="s">
        <v>811</v>
      </c>
      <c r="G275" s="12">
        <v>18.37708</v>
      </c>
      <c r="N275" s="16"/>
      <c r="O275" s="1"/>
    </row>
    <row r="276" spans="1:15" ht="12.75">
      <c r="A276" s="1"/>
      <c r="D276" s="8" t="s">
        <v>517</v>
      </c>
      <c r="E276" s="9" t="s">
        <v>828</v>
      </c>
      <c r="G276" s="12">
        <v>-52.625</v>
      </c>
      <c r="N276" s="16"/>
      <c r="O276" s="1"/>
    </row>
    <row r="277" spans="1:64" ht="12.75">
      <c r="A277" s="61" t="s">
        <v>51</v>
      </c>
      <c r="B277" s="7"/>
      <c r="C277" s="7" t="s">
        <v>214</v>
      </c>
      <c r="D277" s="179" t="s">
        <v>518</v>
      </c>
      <c r="E277" s="180"/>
      <c r="F277" s="7" t="s">
        <v>886</v>
      </c>
      <c r="G277" s="13">
        <v>49.59</v>
      </c>
      <c r="H277" s="104"/>
      <c r="I277" s="13">
        <f>G277*AO277</f>
        <v>0</v>
      </c>
      <c r="J277" s="13">
        <f>G277*AP277</f>
        <v>0</v>
      </c>
      <c r="K277" s="13">
        <f>G277*H277</f>
        <v>0</v>
      </c>
      <c r="L277" s="13">
        <v>0.00012</v>
      </c>
      <c r="M277" s="13">
        <f>G277*L277</f>
        <v>0.005950800000000001</v>
      </c>
      <c r="N277" s="18" t="s">
        <v>912</v>
      </c>
      <c r="O277" s="1"/>
      <c r="Z277" s="20">
        <f>IF(AQ277="5",BJ277,0)</f>
        <v>0</v>
      </c>
      <c r="AB277" s="20">
        <f>IF(AQ277="1",BH277,0)</f>
        <v>0</v>
      </c>
      <c r="AC277" s="20">
        <f>IF(AQ277="1",BI277,0)</f>
        <v>0</v>
      </c>
      <c r="AD277" s="20">
        <f>IF(AQ277="7",BH277,0)</f>
        <v>0</v>
      </c>
      <c r="AE277" s="20">
        <f>IF(AQ277="7",BI277,0)</f>
        <v>0</v>
      </c>
      <c r="AF277" s="20">
        <f>IF(AQ277="2",BH277,0)</f>
        <v>0</v>
      </c>
      <c r="AG277" s="20">
        <f>IF(AQ277="2",BI277,0)</f>
        <v>0</v>
      </c>
      <c r="AH277" s="20">
        <f>IF(AQ277="0",BJ277,0)</f>
        <v>0</v>
      </c>
      <c r="AI277" s="14"/>
      <c r="AJ277" s="13">
        <f>IF(AN277=0,K277,0)</f>
        <v>0</v>
      </c>
      <c r="AK277" s="13">
        <f>IF(AN277=15,K277,0)</f>
        <v>0</v>
      </c>
      <c r="AL277" s="13">
        <f>IF(AN277=21,K277,0)</f>
        <v>0</v>
      </c>
      <c r="AN277" s="20">
        <v>21</v>
      </c>
      <c r="AO277" s="20">
        <f>H277*1</f>
        <v>0</v>
      </c>
      <c r="AP277" s="20">
        <f>H277*(1-1)</f>
        <v>0</v>
      </c>
      <c r="AQ277" s="22" t="s">
        <v>7</v>
      </c>
      <c r="AV277" s="20">
        <f>AW277+AX277</f>
        <v>0</v>
      </c>
      <c r="AW277" s="20">
        <f>G277*AO277</f>
        <v>0</v>
      </c>
      <c r="AX277" s="20">
        <f>G277*AP277</f>
        <v>0</v>
      </c>
      <c r="AY277" s="23" t="s">
        <v>933</v>
      </c>
      <c r="AZ277" s="23" t="s">
        <v>967</v>
      </c>
      <c r="BA277" s="14" t="s">
        <v>976</v>
      </c>
      <c r="BC277" s="20">
        <f>AW277+AX277</f>
        <v>0</v>
      </c>
      <c r="BD277" s="20">
        <f>H277/(100-BE277)*100</f>
        <v>0</v>
      </c>
      <c r="BE277" s="20">
        <v>0</v>
      </c>
      <c r="BF277" s="20">
        <f>M277</f>
        <v>0.005950800000000001</v>
      </c>
      <c r="BH277" s="13">
        <f>G277*AO277</f>
        <v>0</v>
      </c>
      <c r="BI277" s="13">
        <f>G277*AP277</f>
        <v>0</v>
      </c>
      <c r="BJ277" s="13">
        <f>G277*H277</f>
        <v>0</v>
      </c>
      <c r="BK277" s="13" t="s">
        <v>982</v>
      </c>
      <c r="BL277" s="20">
        <v>62</v>
      </c>
    </row>
    <row r="278" spans="1:15" ht="12.75">
      <c r="A278" s="1"/>
      <c r="D278" s="8" t="s">
        <v>519</v>
      </c>
      <c r="E278" s="9" t="s">
        <v>823</v>
      </c>
      <c r="G278" s="12">
        <v>16.82</v>
      </c>
      <c r="N278" s="16"/>
      <c r="O278" s="1"/>
    </row>
    <row r="279" spans="1:15" ht="12.75">
      <c r="A279" s="1"/>
      <c r="D279" s="8" t="s">
        <v>520</v>
      </c>
      <c r="E279" s="9" t="s">
        <v>824</v>
      </c>
      <c r="G279" s="12">
        <v>4.5</v>
      </c>
      <c r="N279" s="16"/>
      <c r="O279" s="1"/>
    </row>
    <row r="280" spans="1:15" ht="12.75">
      <c r="A280" s="1"/>
      <c r="D280" s="8" t="s">
        <v>521</v>
      </c>
      <c r="E280" s="9" t="s">
        <v>825</v>
      </c>
      <c r="G280" s="12">
        <v>6.3</v>
      </c>
      <c r="N280" s="16"/>
      <c r="O280" s="1"/>
    </row>
    <row r="281" spans="1:15" ht="12.75">
      <c r="A281" s="1"/>
      <c r="D281" s="8" t="s">
        <v>522</v>
      </c>
      <c r="E281" s="9" t="s">
        <v>826</v>
      </c>
      <c r="G281" s="12">
        <v>17.47</v>
      </c>
      <c r="N281" s="16"/>
      <c r="O281" s="1"/>
    </row>
    <row r="282" spans="1:15" ht="12.75">
      <c r="A282" s="1"/>
      <c r="D282" s="8" t="s">
        <v>520</v>
      </c>
      <c r="E282" s="9" t="s">
        <v>827</v>
      </c>
      <c r="G282" s="12">
        <v>4.5</v>
      </c>
      <c r="N282" s="16"/>
      <c r="O282" s="1"/>
    </row>
    <row r="283" spans="1:64" ht="12.75">
      <c r="A283" s="60" t="s">
        <v>52</v>
      </c>
      <c r="B283" s="5"/>
      <c r="C283" s="5" t="s">
        <v>215</v>
      </c>
      <c r="D283" s="159" t="s">
        <v>523</v>
      </c>
      <c r="E283" s="150"/>
      <c r="F283" s="5" t="s">
        <v>881</v>
      </c>
      <c r="G283" s="11">
        <v>64.84</v>
      </c>
      <c r="H283" s="103"/>
      <c r="I283" s="11">
        <f>G283*AO283</f>
        <v>0</v>
      </c>
      <c r="J283" s="11">
        <f>G283*AP283</f>
        <v>0</v>
      </c>
      <c r="K283" s="11">
        <f>G283*H283</f>
        <v>0</v>
      </c>
      <c r="L283" s="11">
        <v>0.00367</v>
      </c>
      <c r="M283" s="11">
        <f>G283*L283</f>
        <v>0.23796280000000003</v>
      </c>
      <c r="N283" s="15" t="s">
        <v>912</v>
      </c>
      <c r="O283" s="1"/>
      <c r="Z283" s="20">
        <f>IF(AQ283="5",BJ283,0)</f>
        <v>0</v>
      </c>
      <c r="AB283" s="20">
        <f>IF(AQ283="1",BH283,0)</f>
        <v>0</v>
      </c>
      <c r="AC283" s="20">
        <f>IF(AQ283="1",BI283,0)</f>
        <v>0</v>
      </c>
      <c r="AD283" s="20">
        <f>IF(AQ283="7",BH283,0)</f>
        <v>0</v>
      </c>
      <c r="AE283" s="20">
        <f>IF(AQ283="7",BI283,0)</f>
        <v>0</v>
      </c>
      <c r="AF283" s="20">
        <f>IF(AQ283="2",BH283,0)</f>
        <v>0</v>
      </c>
      <c r="AG283" s="20">
        <f>IF(AQ283="2",BI283,0)</f>
        <v>0</v>
      </c>
      <c r="AH283" s="20">
        <f>IF(AQ283="0",BJ283,0)</f>
        <v>0</v>
      </c>
      <c r="AI283" s="14"/>
      <c r="AJ283" s="11">
        <f>IF(AN283=0,K283,0)</f>
        <v>0</v>
      </c>
      <c r="AK283" s="11">
        <f>IF(AN283=15,K283,0)</f>
        <v>0</v>
      </c>
      <c r="AL283" s="11">
        <f>IF(AN283=21,K283,0)</f>
        <v>0</v>
      </c>
      <c r="AN283" s="20">
        <v>21</v>
      </c>
      <c r="AO283" s="20">
        <f>H283*0.26496122796283</f>
        <v>0</v>
      </c>
      <c r="AP283" s="20">
        <f>H283*(1-0.26496122796283)</f>
        <v>0</v>
      </c>
      <c r="AQ283" s="21" t="s">
        <v>7</v>
      </c>
      <c r="AV283" s="20">
        <f>AW283+AX283</f>
        <v>0</v>
      </c>
      <c r="AW283" s="20">
        <f>G283*AO283</f>
        <v>0</v>
      </c>
      <c r="AX283" s="20">
        <f>G283*AP283</f>
        <v>0</v>
      </c>
      <c r="AY283" s="23" t="s">
        <v>933</v>
      </c>
      <c r="AZ283" s="23" t="s">
        <v>967</v>
      </c>
      <c r="BA283" s="14" t="s">
        <v>976</v>
      </c>
      <c r="BC283" s="20">
        <f>AW283+AX283</f>
        <v>0</v>
      </c>
      <c r="BD283" s="20">
        <f>H283/(100-BE283)*100</f>
        <v>0</v>
      </c>
      <c r="BE283" s="20">
        <v>0</v>
      </c>
      <c r="BF283" s="20">
        <f>M283</f>
        <v>0.23796280000000003</v>
      </c>
      <c r="BH283" s="11">
        <f>G283*AO283</f>
        <v>0</v>
      </c>
      <c r="BI283" s="11">
        <f>G283*AP283</f>
        <v>0</v>
      </c>
      <c r="BJ283" s="11">
        <f>G283*H283</f>
        <v>0</v>
      </c>
      <c r="BK283" s="11" t="s">
        <v>981</v>
      </c>
      <c r="BL283" s="20">
        <v>62</v>
      </c>
    </row>
    <row r="284" spans="1:15" ht="12.75">
      <c r="A284" s="1"/>
      <c r="D284" s="63" t="s">
        <v>1041</v>
      </c>
      <c r="E284" s="63" t="s">
        <v>1042</v>
      </c>
      <c r="G284" s="12">
        <v>78.56548</v>
      </c>
      <c r="N284" s="16"/>
      <c r="O284" s="1"/>
    </row>
    <row r="285" spans="1:15" ht="12.75">
      <c r="A285" s="1"/>
      <c r="D285" s="63" t="s">
        <v>424</v>
      </c>
      <c r="E285" s="63" t="s">
        <v>794</v>
      </c>
      <c r="G285" s="12">
        <v>-5.07</v>
      </c>
      <c r="N285" s="16"/>
      <c r="O285" s="1"/>
    </row>
    <row r="286" spans="1:64" ht="12.75">
      <c r="A286" s="62" t="s">
        <v>53</v>
      </c>
      <c r="B286" s="47"/>
      <c r="C286" s="47" t="s">
        <v>216</v>
      </c>
      <c r="D286" s="181" t="s">
        <v>524</v>
      </c>
      <c r="E286" s="182"/>
      <c r="F286" s="47" t="s">
        <v>883</v>
      </c>
      <c r="G286" s="52">
        <v>169.36</v>
      </c>
      <c r="H286" s="105"/>
      <c r="I286" s="52">
        <f>G286*AO286</f>
        <v>0</v>
      </c>
      <c r="J286" s="52">
        <f>G286*AP286</f>
        <v>0</v>
      </c>
      <c r="K286" s="52">
        <f>G286*H286</f>
        <v>0</v>
      </c>
      <c r="L286" s="52">
        <v>0.00011</v>
      </c>
      <c r="M286" s="52">
        <f>G286*L286</f>
        <v>0.018629600000000003</v>
      </c>
      <c r="N286" s="43" t="s">
        <v>912</v>
      </c>
      <c r="O286" s="44"/>
      <c r="Z286" s="20">
        <f>IF(AQ286="5",BJ286,0)</f>
        <v>0</v>
      </c>
      <c r="AB286" s="20">
        <f>IF(AQ286="1",BH286,0)</f>
        <v>0</v>
      </c>
      <c r="AC286" s="20">
        <f>IF(AQ286="1",BI286,0)</f>
        <v>0</v>
      </c>
      <c r="AD286" s="20">
        <f>IF(AQ286="7",BH286,0)</f>
        <v>0</v>
      </c>
      <c r="AE286" s="20">
        <f>IF(AQ286="7",BI286,0)</f>
        <v>0</v>
      </c>
      <c r="AF286" s="20">
        <f>IF(AQ286="2",BH286,0)</f>
        <v>0</v>
      </c>
      <c r="AG286" s="20">
        <f>IF(AQ286="2",BI286,0)</f>
        <v>0</v>
      </c>
      <c r="AH286" s="20">
        <f>IF(AQ286="0",BJ286,0)</f>
        <v>0</v>
      </c>
      <c r="AI286" s="14"/>
      <c r="AJ286" s="11">
        <f>IF(AN286=0,K286,0)</f>
        <v>0</v>
      </c>
      <c r="AK286" s="11">
        <f>IF(AN286=15,K286,0)</f>
        <v>0</v>
      </c>
      <c r="AL286" s="11">
        <f>IF(AN286=21,K286,0)</f>
        <v>0</v>
      </c>
      <c r="AN286" s="20">
        <v>21</v>
      </c>
      <c r="AO286" s="20">
        <f>H286*0.713782383419689</f>
        <v>0</v>
      </c>
      <c r="AP286" s="20">
        <f>H286*(1-0.713782383419689)</f>
        <v>0</v>
      </c>
      <c r="AQ286" s="21" t="s">
        <v>7</v>
      </c>
      <c r="AV286" s="20">
        <f>AW286+AX286</f>
        <v>0</v>
      </c>
      <c r="AW286" s="20">
        <f>G286*AO286</f>
        <v>0</v>
      </c>
      <c r="AX286" s="20">
        <f>G286*AP286</f>
        <v>0</v>
      </c>
      <c r="AY286" s="23" t="s">
        <v>933</v>
      </c>
      <c r="AZ286" s="23" t="s">
        <v>967</v>
      </c>
      <c r="BA286" s="14" t="s">
        <v>976</v>
      </c>
      <c r="BC286" s="20">
        <f>AW286+AX286</f>
        <v>0</v>
      </c>
      <c r="BD286" s="20">
        <f>H286/(100-BE286)*100</f>
        <v>0</v>
      </c>
      <c r="BE286" s="20">
        <v>0</v>
      </c>
      <c r="BF286" s="20">
        <f>M286</f>
        <v>0.018629600000000003</v>
      </c>
      <c r="BH286" s="11">
        <f>G286*AO286</f>
        <v>0</v>
      </c>
      <c r="BI286" s="11">
        <f>G286*AP286</f>
        <v>0</v>
      </c>
      <c r="BJ286" s="11">
        <f>G286*H286</f>
        <v>0</v>
      </c>
      <c r="BK286" s="11" t="s">
        <v>981</v>
      </c>
      <c r="BL286" s="20">
        <v>62</v>
      </c>
    </row>
    <row r="287" spans="1:15" ht="12.75">
      <c r="A287" s="54"/>
      <c r="B287" s="55"/>
      <c r="C287" s="55"/>
      <c r="D287" s="56" t="s">
        <v>525</v>
      </c>
      <c r="E287" s="57" t="s">
        <v>829</v>
      </c>
      <c r="F287" s="55"/>
      <c r="G287" s="58">
        <v>44.61</v>
      </c>
      <c r="H287" s="55"/>
      <c r="I287" s="55"/>
      <c r="J287" s="55"/>
      <c r="K287" s="55"/>
      <c r="L287" s="55"/>
      <c r="M287" s="55"/>
      <c r="N287" s="45"/>
      <c r="O287" s="44"/>
    </row>
    <row r="288" spans="1:15" ht="12.75">
      <c r="A288" s="54"/>
      <c r="B288" s="55"/>
      <c r="C288" s="55"/>
      <c r="D288" s="56" t="s">
        <v>526</v>
      </c>
      <c r="E288" s="57" t="s">
        <v>830</v>
      </c>
      <c r="F288" s="55"/>
      <c r="G288" s="58">
        <v>8.32</v>
      </c>
      <c r="H288" s="55"/>
      <c r="I288" s="55"/>
      <c r="J288" s="55"/>
      <c r="K288" s="55"/>
      <c r="L288" s="55"/>
      <c r="M288" s="55"/>
      <c r="N288" s="45"/>
      <c r="O288" s="44"/>
    </row>
    <row r="289" spans="1:15" ht="12.75">
      <c r="A289" s="54"/>
      <c r="B289" s="55"/>
      <c r="C289" s="55"/>
      <c r="D289" s="56" t="s">
        <v>527</v>
      </c>
      <c r="E289" s="57" t="s">
        <v>817</v>
      </c>
      <c r="F289" s="55"/>
      <c r="G289" s="58">
        <v>14.03</v>
      </c>
      <c r="H289" s="55"/>
      <c r="I289" s="55"/>
      <c r="J289" s="55"/>
      <c r="K289" s="55"/>
      <c r="L289" s="55"/>
      <c r="M289" s="55"/>
      <c r="N289" s="45"/>
      <c r="O289" s="44"/>
    </row>
    <row r="290" spans="1:15" ht="12.75">
      <c r="A290" s="54"/>
      <c r="B290" s="55"/>
      <c r="C290" s="55"/>
      <c r="D290" s="56" t="s">
        <v>526</v>
      </c>
      <c r="E290" s="57" t="s">
        <v>831</v>
      </c>
      <c r="F290" s="55"/>
      <c r="G290" s="58">
        <v>8.32</v>
      </c>
      <c r="H290" s="55"/>
      <c r="I290" s="55"/>
      <c r="J290" s="55"/>
      <c r="K290" s="55"/>
      <c r="L290" s="55"/>
      <c r="M290" s="55"/>
      <c r="N290" s="45"/>
      <c r="O290" s="44"/>
    </row>
    <row r="291" spans="1:15" ht="12.75">
      <c r="A291" s="54"/>
      <c r="B291" s="55"/>
      <c r="C291" s="55"/>
      <c r="D291" s="56" t="s">
        <v>525</v>
      </c>
      <c r="E291" s="57" t="s">
        <v>832</v>
      </c>
      <c r="F291" s="55"/>
      <c r="G291" s="58">
        <v>44.61</v>
      </c>
      <c r="H291" s="55"/>
      <c r="I291" s="55"/>
      <c r="J291" s="55"/>
      <c r="K291" s="55"/>
      <c r="L291" s="55"/>
      <c r="M291" s="55"/>
      <c r="N291" s="45"/>
      <c r="O291" s="44"/>
    </row>
    <row r="292" spans="1:15" ht="12.75">
      <c r="A292" s="54"/>
      <c r="B292" s="55"/>
      <c r="C292" s="55"/>
      <c r="D292" s="56" t="s">
        <v>528</v>
      </c>
      <c r="E292" s="57" t="s">
        <v>818</v>
      </c>
      <c r="F292" s="55"/>
      <c r="G292" s="58">
        <v>22.24</v>
      </c>
      <c r="H292" s="55"/>
      <c r="I292" s="55"/>
      <c r="J292" s="55"/>
      <c r="K292" s="55"/>
      <c r="L292" s="55"/>
      <c r="M292" s="55"/>
      <c r="N292" s="45"/>
      <c r="O292" s="44"/>
    </row>
    <row r="293" spans="1:15" ht="12.75">
      <c r="A293" s="54"/>
      <c r="B293" s="55"/>
      <c r="C293" s="55"/>
      <c r="D293" s="56" t="s">
        <v>527</v>
      </c>
      <c r="E293" s="57" t="s">
        <v>833</v>
      </c>
      <c r="F293" s="55"/>
      <c r="G293" s="58">
        <v>14.03</v>
      </c>
      <c r="H293" s="55"/>
      <c r="I293" s="55"/>
      <c r="J293" s="55"/>
      <c r="K293" s="55"/>
      <c r="L293" s="55"/>
      <c r="M293" s="55"/>
      <c r="N293" s="45"/>
      <c r="O293" s="44"/>
    </row>
    <row r="294" spans="1:15" ht="12.75">
      <c r="A294" s="48"/>
      <c r="B294" s="49"/>
      <c r="C294" s="49"/>
      <c r="D294" s="50" t="s">
        <v>529</v>
      </c>
      <c r="E294" s="51" t="s">
        <v>834</v>
      </c>
      <c r="F294" s="49"/>
      <c r="G294" s="53">
        <v>13.2</v>
      </c>
      <c r="H294" s="49"/>
      <c r="I294" s="49"/>
      <c r="J294" s="49"/>
      <c r="K294" s="49"/>
      <c r="L294" s="49"/>
      <c r="M294" s="49"/>
      <c r="N294" s="46"/>
      <c r="O294" s="44"/>
    </row>
    <row r="295" spans="1:64" ht="12.75">
      <c r="A295" s="60" t="s">
        <v>54</v>
      </c>
      <c r="B295" s="5"/>
      <c r="C295" s="5" t="s">
        <v>217</v>
      </c>
      <c r="D295" s="176" t="s">
        <v>530</v>
      </c>
      <c r="E295" s="177"/>
      <c r="F295" s="5" t="s">
        <v>881</v>
      </c>
      <c r="G295" s="11">
        <v>66.95</v>
      </c>
      <c r="H295" s="103"/>
      <c r="I295" s="11">
        <f>G295*AO295</f>
        <v>0</v>
      </c>
      <c r="J295" s="11">
        <f>G295*AP295</f>
        <v>0</v>
      </c>
      <c r="K295" s="11">
        <f>G295*H295</f>
        <v>0</v>
      </c>
      <c r="L295" s="11">
        <v>1E-05</v>
      </c>
      <c r="M295" s="11">
        <f>G295*L295</f>
        <v>0.0006695000000000001</v>
      </c>
      <c r="N295" s="15" t="s">
        <v>912</v>
      </c>
      <c r="O295" s="1"/>
      <c r="Z295" s="20">
        <f>IF(AQ295="5",BJ295,0)</f>
        <v>0</v>
      </c>
      <c r="AB295" s="20">
        <f>IF(AQ295="1",BH295,0)</f>
        <v>0</v>
      </c>
      <c r="AC295" s="20">
        <f>IF(AQ295="1",BI295,0)</f>
        <v>0</v>
      </c>
      <c r="AD295" s="20">
        <f>IF(AQ295="7",BH295,0)</f>
        <v>0</v>
      </c>
      <c r="AE295" s="20">
        <f>IF(AQ295="7",BI295,0)</f>
        <v>0</v>
      </c>
      <c r="AF295" s="20">
        <f>IF(AQ295="2",BH295,0)</f>
        <v>0</v>
      </c>
      <c r="AG295" s="20">
        <f>IF(AQ295="2",BI295,0)</f>
        <v>0</v>
      </c>
      <c r="AH295" s="20">
        <f>IF(AQ295="0",BJ295,0)</f>
        <v>0</v>
      </c>
      <c r="AI295" s="14"/>
      <c r="AJ295" s="11">
        <f>IF(AN295=0,K295,0)</f>
        <v>0</v>
      </c>
      <c r="AK295" s="11">
        <f>IF(AN295=15,K295,0)</f>
        <v>0</v>
      </c>
      <c r="AL295" s="11">
        <f>IF(AN295=21,K295,0)</f>
        <v>0</v>
      </c>
      <c r="AN295" s="20">
        <v>21</v>
      </c>
      <c r="AO295" s="20">
        <f>H295*0.450582857142857</f>
        <v>0</v>
      </c>
      <c r="AP295" s="20">
        <f>H295*(1-0.450582857142857)</f>
        <v>0</v>
      </c>
      <c r="AQ295" s="21" t="s">
        <v>7</v>
      </c>
      <c r="AV295" s="20">
        <f>AW295+AX295</f>
        <v>0</v>
      </c>
      <c r="AW295" s="20">
        <f>G295*AO295</f>
        <v>0</v>
      </c>
      <c r="AX295" s="20">
        <f>G295*AP295</f>
        <v>0</v>
      </c>
      <c r="AY295" s="23" t="s">
        <v>933</v>
      </c>
      <c r="AZ295" s="23" t="s">
        <v>967</v>
      </c>
      <c r="BA295" s="14" t="s">
        <v>976</v>
      </c>
      <c r="BC295" s="20">
        <f>AW295+AX295</f>
        <v>0</v>
      </c>
      <c r="BD295" s="20">
        <f>H295/(100-BE295)*100</f>
        <v>0</v>
      </c>
      <c r="BE295" s="20">
        <v>0</v>
      </c>
      <c r="BF295" s="20">
        <f>M295</f>
        <v>0.0006695000000000001</v>
      </c>
      <c r="BH295" s="11">
        <f>G295*AO295</f>
        <v>0</v>
      </c>
      <c r="BI295" s="11">
        <f>G295*AP295</f>
        <v>0</v>
      </c>
      <c r="BJ295" s="11">
        <f>G295*H295</f>
        <v>0</v>
      </c>
      <c r="BK295" s="11" t="s">
        <v>981</v>
      </c>
      <c r="BL295" s="20">
        <v>62</v>
      </c>
    </row>
    <row r="296" spans="1:15" ht="12.75">
      <c r="A296" s="1"/>
      <c r="D296" s="8" t="s">
        <v>531</v>
      </c>
      <c r="E296" s="9" t="s">
        <v>821</v>
      </c>
      <c r="G296" s="12">
        <v>66.95</v>
      </c>
      <c r="N296" s="16"/>
      <c r="O296" s="1"/>
    </row>
    <row r="297" spans="1:47" ht="12.75">
      <c r="A297" s="2"/>
      <c r="B297" s="6"/>
      <c r="C297" s="6" t="s">
        <v>68</v>
      </c>
      <c r="D297" s="174" t="s">
        <v>532</v>
      </c>
      <c r="E297" s="175"/>
      <c r="F297" s="10" t="s">
        <v>6</v>
      </c>
      <c r="G297" s="10" t="s">
        <v>6</v>
      </c>
      <c r="H297" s="10"/>
      <c r="I297" s="25">
        <f>SUM(I298:I326)</f>
        <v>0</v>
      </c>
      <c r="J297" s="25">
        <f>SUM(J298:J326)</f>
        <v>0</v>
      </c>
      <c r="K297" s="25">
        <f>SUM(K298:K326)</f>
        <v>0</v>
      </c>
      <c r="L297" s="14"/>
      <c r="M297" s="25">
        <f>SUM(M298:M326)</f>
        <v>29.718654910999998</v>
      </c>
      <c r="N297" s="17"/>
      <c r="O297" s="1"/>
      <c r="AI297" s="14"/>
      <c r="AS297" s="25">
        <f>SUM(AJ298:AJ326)</f>
        <v>0</v>
      </c>
      <c r="AT297" s="25">
        <f>SUM(AK298:AK326)</f>
        <v>0</v>
      </c>
      <c r="AU297" s="25">
        <f>SUM(AL298:AL326)</f>
        <v>0</v>
      </c>
    </row>
    <row r="298" spans="1:64" ht="12.75">
      <c r="A298" s="60" t="s">
        <v>55</v>
      </c>
      <c r="B298" s="5"/>
      <c r="C298" s="5" t="s">
        <v>218</v>
      </c>
      <c r="D298" s="176" t="s">
        <v>533</v>
      </c>
      <c r="E298" s="177"/>
      <c r="F298" s="5" t="s">
        <v>881</v>
      </c>
      <c r="G298" s="11">
        <v>7.7799</v>
      </c>
      <c r="H298" s="103"/>
      <c r="I298" s="11">
        <f>G298*AO298</f>
        <v>0</v>
      </c>
      <c r="J298" s="11">
        <f>G298*AP298</f>
        <v>0</v>
      </c>
      <c r="K298" s="11">
        <f>G298*H298</f>
        <v>0</v>
      </c>
      <c r="L298" s="11">
        <v>0.00037</v>
      </c>
      <c r="M298" s="11">
        <f>G298*L298</f>
        <v>0.0028785629999999998</v>
      </c>
      <c r="N298" s="15" t="s">
        <v>912</v>
      </c>
      <c r="O298" s="1"/>
      <c r="Z298" s="20">
        <f>IF(AQ298="5",BJ298,0)</f>
        <v>0</v>
      </c>
      <c r="AB298" s="20">
        <f>IF(AQ298="1",BH298,0)</f>
        <v>0</v>
      </c>
      <c r="AC298" s="20">
        <f>IF(AQ298="1",BI298,0)</f>
        <v>0</v>
      </c>
      <c r="AD298" s="20">
        <f>IF(AQ298="7",BH298,0)</f>
        <v>0</v>
      </c>
      <c r="AE298" s="20">
        <f>IF(AQ298="7",BI298,0)</f>
        <v>0</v>
      </c>
      <c r="AF298" s="20">
        <f>IF(AQ298="2",BH298,0)</f>
        <v>0</v>
      </c>
      <c r="AG298" s="20">
        <f>IF(AQ298="2",BI298,0)</f>
        <v>0</v>
      </c>
      <c r="AH298" s="20">
        <f>IF(AQ298="0",BJ298,0)</f>
        <v>0</v>
      </c>
      <c r="AI298" s="14"/>
      <c r="AJ298" s="11">
        <f>IF(AN298=0,K298,0)</f>
        <v>0</v>
      </c>
      <c r="AK298" s="11">
        <f>IF(AN298=15,K298,0)</f>
        <v>0</v>
      </c>
      <c r="AL298" s="11">
        <f>IF(AN298=21,K298,0)</f>
        <v>0</v>
      </c>
      <c r="AN298" s="20">
        <v>21</v>
      </c>
      <c r="AO298" s="20">
        <f>H298*0.595318289265261</f>
        <v>0</v>
      </c>
      <c r="AP298" s="20">
        <f>H298*(1-0.595318289265261)</f>
        <v>0</v>
      </c>
      <c r="AQ298" s="21" t="s">
        <v>7</v>
      </c>
      <c r="AV298" s="20">
        <f>AW298+AX298</f>
        <v>0</v>
      </c>
      <c r="AW298" s="20">
        <f>G298*AO298</f>
        <v>0</v>
      </c>
      <c r="AX298" s="20">
        <f>G298*AP298</f>
        <v>0</v>
      </c>
      <c r="AY298" s="23" t="s">
        <v>934</v>
      </c>
      <c r="AZ298" s="23" t="s">
        <v>967</v>
      </c>
      <c r="BA298" s="14" t="s">
        <v>976</v>
      </c>
      <c r="BC298" s="20">
        <f>AW298+AX298</f>
        <v>0</v>
      </c>
      <c r="BD298" s="20">
        <f>H298/(100-BE298)*100</f>
        <v>0</v>
      </c>
      <c r="BE298" s="20">
        <v>0</v>
      </c>
      <c r="BF298" s="20">
        <f>M298</f>
        <v>0.0028785629999999998</v>
      </c>
      <c r="BH298" s="11">
        <f>G298*AO298</f>
        <v>0</v>
      </c>
      <c r="BI298" s="11">
        <f>G298*AP298</f>
        <v>0</v>
      </c>
      <c r="BJ298" s="11">
        <f>G298*H298</f>
        <v>0</v>
      </c>
      <c r="BK298" s="11" t="s">
        <v>981</v>
      </c>
      <c r="BL298" s="20">
        <v>63</v>
      </c>
    </row>
    <row r="299" spans="1:15" ht="12.75">
      <c r="A299" s="1"/>
      <c r="D299" s="8" t="s">
        <v>534</v>
      </c>
      <c r="E299" s="9" t="s">
        <v>835</v>
      </c>
      <c r="G299" s="12">
        <v>1.3568</v>
      </c>
      <c r="N299" s="16"/>
      <c r="O299" s="1"/>
    </row>
    <row r="300" spans="1:15" ht="12.75">
      <c r="A300" s="1"/>
      <c r="D300" s="8" t="s">
        <v>535</v>
      </c>
      <c r="E300" s="9" t="s">
        <v>836</v>
      </c>
      <c r="G300" s="12">
        <v>1.152</v>
      </c>
      <c r="N300" s="16"/>
      <c r="O300" s="1"/>
    </row>
    <row r="301" spans="1:15" ht="12.75">
      <c r="A301" s="1"/>
      <c r="D301" s="8" t="s">
        <v>536</v>
      </c>
      <c r="E301" s="9" t="s">
        <v>837</v>
      </c>
      <c r="G301" s="12">
        <v>2.4743</v>
      </c>
      <c r="N301" s="16"/>
      <c r="O301" s="1"/>
    </row>
    <row r="302" spans="1:15" ht="12.75">
      <c r="A302" s="1"/>
      <c r="D302" s="8" t="s">
        <v>537</v>
      </c>
      <c r="E302" s="9" t="s">
        <v>838</v>
      </c>
      <c r="G302" s="12">
        <v>1.696</v>
      </c>
      <c r="N302" s="16"/>
      <c r="O302" s="1"/>
    </row>
    <row r="303" spans="1:15" ht="12.75">
      <c r="A303" s="1"/>
      <c r="D303" s="8" t="s">
        <v>538</v>
      </c>
      <c r="E303" s="9" t="s">
        <v>839</v>
      </c>
      <c r="G303" s="12">
        <v>0.576</v>
      </c>
      <c r="N303" s="16"/>
      <c r="O303" s="1"/>
    </row>
    <row r="304" spans="1:15" ht="12.75">
      <c r="A304" s="1"/>
      <c r="D304" s="8" t="s">
        <v>539</v>
      </c>
      <c r="E304" s="9" t="s">
        <v>840</v>
      </c>
      <c r="G304" s="12">
        <v>0.5248</v>
      </c>
      <c r="N304" s="16"/>
      <c r="O304" s="1"/>
    </row>
    <row r="305" spans="1:64" ht="12.75">
      <c r="A305" s="60" t="s">
        <v>56</v>
      </c>
      <c r="B305" s="5"/>
      <c r="C305" s="5" t="s">
        <v>219</v>
      </c>
      <c r="D305" s="176" t="s">
        <v>540</v>
      </c>
      <c r="E305" s="177"/>
      <c r="F305" s="5" t="s">
        <v>881</v>
      </c>
      <c r="G305" s="11">
        <v>7.7799</v>
      </c>
      <c r="H305" s="103"/>
      <c r="I305" s="11">
        <f>G305*AO305</f>
        <v>0</v>
      </c>
      <c r="J305" s="11">
        <f>G305*AP305</f>
        <v>0</v>
      </c>
      <c r="K305" s="11">
        <f>G305*H305</f>
        <v>0</v>
      </c>
      <c r="L305" s="11">
        <v>0.03415</v>
      </c>
      <c r="M305" s="11">
        <f>G305*L305</f>
        <v>0.265683585</v>
      </c>
      <c r="N305" s="15" t="s">
        <v>912</v>
      </c>
      <c r="O305" s="1"/>
      <c r="Z305" s="20">
        <f>IF(AQ305="5",BJ305,0)</f>
        <v>0</v>
      </c>
      <c r="AB305" s="20">
        <f>IF(AQ305="1",BH305,0)</f>
        <v>0</v>
      </c>
      <c r="AC305" s="20">
        <f>IF(AQ305="1",BI305,0)</f>
        <v>0</v>
      </c>
      <c r="AD305" s="20">
        <f>IF(AQ305="7",BH305,0)</f>
        <v>0</v>
      </c>
      <c r="AE305" s="20">
        <f>IF(AQ305="7",BI305,0)</f>
        <v>0</v>
      </c>
      <c r="AF305" s="20">
        <f>IF(AQ305="2",BH305,0)</f>
        <v>0</v>
      </c>
      <c r="AG305" s="20">
        <f>IF(AQ305="2",BI305,0)</f>
        <v>0</v>
      </c>
      <c r="AH305" s="20">
        <f>IF(AQ305="0",BJ305,0)</f>
        <v>0</v>
      </c>
      <c r="AI305" s="14"/>
      <c r="AJ305" s="11">
        <f>IF(AN305=0,K305,0)</f>
        <v>0</v>
      </c>
      <c r="AK305" s="11">
        <f>IF(AN305=15,K305,0)</f>
        <v>0</v>
      </c>
      <c r="AL305" s="11">
        <f>IF(AN305=21,K305,0)</f>
        <v>0</v>
      </c>
      <c r="AN305" s="20">
        <v>21</v>
      </c>
      <c r="AO305" s="20">
        <f>H305*0.771703785643539</f>
        <v>0</v>
      </c>
      <c r="AP305" s="20">
        <f>H305*(1-0.771703785643539)</f>
        <v>0</v>
      </c>
      <c r="AQ305" s="21" t="s">
        <v>7</v>
      </c>
      <c r="AV305" s="20">
        <f>AW305+AX305</f>
        <v>0</v>
      </c>
      <c r="AW305" s="20">
        <f>G305*AO305</f>
        <v>0</v>
      </c>
      <c r="AX305" s="20">
        <f>G305*AP305</f>
        <v>0</v>
      </c>
      <c r="AY305" s="23" t="s">
        <v>934</v>
      </c>
      <c r="AZ305" s="23" t="s">
        <v>967</v>
      </c>
      <c r="BA305" s="14" t="s">
        <v>976</v>
      </c>
      <c r="BC305" s="20">
        <f>AW305+AX305</f>
        <v>0</v>
      </c>
      <c r="BD305" s="20">
        <f>H305/(100-BE305)*100</f>
        <v>0</v>
      </c>
      <c r="BE305" s="20">
        <v>0</v>
      </c>
      <c r="BF305" s="20">
        <f>M305</f>
        <v>0.265683585</v>
      </c>
      <c r="BH305" s="11">
        <f>G305*AO305</f>
        <v>0</v>
      </c>
      <c r="BI305" s="11">
        <f>G305*AP305</f>
        <v>0</v>
      </c>
      <c r="BJ305" s="11">
        <f>G305*H305</f>
        <v>0</v>
      </c>
      <c r="BK305" s="11" t="s">
        <v>981</v>
      </c>
      <c r="BL305" s="20">
        <v>63</v>
      </c>
    </row>
    <row r="306" spans="1:15" ht="12.75">
      <c r="A306" s="1"/>
      <c r="D306" s="8" t="s">
        <v>534</v>
      </c>
      <c r="E306" s="9" t="s">
        <v>835</v>
      </c>
      <c r="G306" s="12">
        <v>1.3568</v>
      </c>
      <c r="N306" s="16"/>
      <c r="O306" s="1"/>
    </row>
    <row r="307" spans="1:15" ht="12.75">
      <c r="A307" s="1"/>
      <c r="D307" s="8" t="s">
        <v>535</v>
      </c>
      <c r="E307" s="9" t="s">
        <v>836</v>
      </c>
      <c r="G307" s="12">
        <v>1.152</v>
      </c>
      <c r="N307" s="16"/>
      <c r="O307" s="1"/>
    </row>
    <row r="308" spans="1:15" ht="12.75">
      <c r="A308" s="1"/>
      <c r="D308" s="8" t="s">
        <v>536</v>
      </c>
      <c r="E308" s="9" t="s">
        <v>837</v>
      </c>
      <c r="G308" s="12">
        <v>2.4743</v>
      </c>
      <c r="N308" s="16"/>
      <c r="O308" s="1"/>
    </row>
    <row r="309" spans="1:15" ht="12.75">
      <c r="A309" s="1"/>
      <c r="D309" s="8" t="s">
        <v>537</v>
      </c>
      <c r="E309" s="9" t="s">
        <v>838</v>
      </c>
      <c r="G309" s="12">
        <v>1.696</v>
      </c>
      <c r="N309" s="16"/>
      <c r="O309" s="1"/>
    </row>
    <row r="310" spans="1:15" ht="12.75">
      <c r="A310" s="1"/>
      <c r="D310" s="8" t="s">
        <v>538</v>
      </c>
      <c r="E310" s="9" t="s">
        <v>839</v>
      </c>
      <c r="G310" s="12">
        <v>0.576</v>
      </c>
      <c r="N310" s="16"/>
      <c r="O310" s="1"/>
    </row>
    <row r="311" spans="1:15" ht="12.75">
      <c r="A311" s="1"/>
      <c r="D311" s="8" t="s">
        <v>539</v>
      </c>
      <c r="E311" s="9" t="s">
        <v>840</v>
      </c>
      <c r="G311" s="12">
        <v>0.5248</v>
      </c>
      <c r="N311" s="16"/>
      <c r="O311" s="1"/>
    </row>
    <row r="312" spans="1:64" ht="12.75">
      <c r="A312" s="60" t="s">
        <v>57</v>
      </c>
      <c r="B312" s="5"/>
      <c r="C312" s="5" t="s">
        <v>220</v>
      </c>
      <c r="D312" s="176" t="s">
        <v>541</v>
      </c>
      <c r="E312" s="177"/>
      <c r="F312" s="5" t="s">
        <v>881</v>
      </c>
      <c r="G312" s="11">
        <v>7.7799</v>
      </c>
      <c r="H312" s="103"/>
      <c r="I312" s="11">
        <f>G312*AO312</f>
        <v>0</v>
      </c>
      <c r="J312" s="11">
        <f>G312*AP312</f>
        <v>0</v>
      </c>
      <c r="K312" s="11">
        <f>G312*H312</f>
        <v>0</v>
      </c>
      <c r="L312" s="11">
        <v>0</v>
      </c>
      <c r="M312" s="11">
        <f>G312*L312</f>
        <v>0</v>
      </c>
      <c r="N312" s="15" t="s">
        <v>913</v>
      </c>
      <c r="O312" s="1"/>
      <c r="Z312" s="20">
        <f>IF(AQ312="5",BJ312,0)</f>
        <v>0</v>
      </c>
      <c r="AB312" s="20">
        <f>IF(AQ312="1",BH312,0)</f>
        <v>0</v>
      </c>
      <c r="AC312" s="20">
        <f>IF(AQ312="1",BI312,0)</f>
        <v>0</v>
      </c>
      <c r="AD312" s="20">
        <f>IF(AQ312="7",BH312,0)</f>
        <v>0</v>
      </c>
      <c r="AE312" s="20">
        <f>IF(AQ312="7",BI312,0)</f>
        <v>0</v>
      </c>
      <c r="AF312" s="20">
        <f>IF(AQ312="2",BH312,0)</f>
        <v>0</v>
      </c>
      <c r="AG312" s="20">
        <f>IF(AQ312="2",BI312,0)</f>
        <v>0</v>
      </c>
      <c r="AH312" s="20">
        <f>IF(AQ312="0",BJ312,0)</f>
        <v>0</v>
      </c>
      <c r="AI312" s="14"/>
      <c r="AJ312" s="11">
        <f>IF(AN312=0,K312,0)</f>
        <v>0</v>
      </c>
      <c r="AK312" s="11">
        <f>IF(AN312=15,K312,0)</f>
        <v>0</v>
      </c>
      <c r="AL312" s="11">
        <f>IF(AN312=21,K312,0)</f>
        <v>0</v>
      </c>
      <c r="AN312" s="20">
        <v>21</v>
      </c>
      <c r="AO312" s="20">
        <f>H312*0.346645643497251</f>
        <v>0</v>
      </c>
      <c r="AP312" s="20">
        <f>H312*(1-0.346645643497251)</f>
        <v>0</v>
      </c>
      <c r="AQ312" s="21" t="s">
        <v>7</v>
      </c>
      <c r="AV312" s="20">
        <f>AW312+AX312</f>
        <v>0</v>
      </c>
      <c r="AW312" s="20">
        <f>G312*AO312</f>
        <v>0</v>
      </c>
      <c r="AX312" s="20">
        <f>G312*AP312</f>
        <v>0</v>
      </c>
      <c r="AY312" s="23" t="s">
        <v>934</v>
      </c>
      <c r="AZ312" s="23" t="s">
        <v>967</v>
      </c>
      <c r="BA312" s="14" t="s">
        <v>976</v>
      </c>
      <c r="BC312" s="20">
        <f>AW312+AX312</f>
        <v>0</v>
      </c>
      <c r="BD312" s="20">
        <f>H312/(100-BE312)*100</f>
        <v>0</v>
      </c>
      <c r="BE312" s="20">
        <v>0</v>
      </c>
      <c r="BF312" s="20">
        <f>M312</f>
        <v>0</v>
      </c>
      <c r="BH312" s="11">
        <f>G312*AO312</f>
        <v>0</v>
      </c>
      <c r="BI312" s="11">
        <f>G312*AP312</f>
        <v>0</v>
      </c>
      <c r="BJ312" s="11">
        <f>G312*H312</f>
        <v>0</v>
      </c>
      <c r="BK312" s="11" t="s">
        <v>981</v>
      </c>
      <c r="BL312" s="20">
        <v>63</v>
      </c>
    </row>
    <row r="313" spans="1:15" ht="12.75">
      <c r="A313" s="1"/>
      <c r="D313" s="8" t="s">
        <v>534</v>
      </c>
      <c r="E313" s="9" t="s">
        <v>835</v>
      </c>
      <c r="G313" s="12">
        <v>1.3568</v>
      </c>
      <c r="N313" s="16"/>
      <c r="O313" s="1"/>
    </row>
    <row r="314" spans="1:15" ht="12.75">
      <c r="A314" s="1"/>
      <c r="D314" s="8" t="s">
        <v>535</v>
      </c>
      <c r="E314" s="9" t="s">
        <v>836</v>
      </c>
      <c r="G314" s="12">
        <v>1.152</v>
      </c>
      <c r="N314" s="16"/>
      <c r="O314" s="1"/>
    </row>
    <row r="315" spans="1:15" ht="12.75">
      <c r="A315" s="1"/>
      <c r="D315" s="8" t="s">
        <v>536</v>
      </c>
      <c r="E315" s="9" t="s">
        <v>837</v>
      </c>
      <c r="G315" s="12">
        <v>2.4743</v>
      </c>
      <c r="N315" s="16"/>
      <c r="O315" s="1"/>
    </row>
    <row r="316" spans="1:15" ht="12.75">
      <c r="A316" s="1"/>
      <c r="D316" s="8" t="s">
        <v>537</v>
      </c>
      <c r="E316" s="9" t="s">
        <v>838</v>
      </c>
      <c r="G316" s="12">
        <v>1.696</v>
      </c>
      <c r="N316" s="16"/>
      <c r="O316" s="1"/>
    </row>
    <row r="317" spans="1:15" ht="12.75">
      <c r="A317" s="1"/>
      <c r="D317" s="8" t="s">
        <v>538</v>
      </c>
      <c r="E317" s="9" t="s">
        <v>839</v>
      </c>
      <c r="G317" s="12">
        <v>0.576</v>
      </c>
      <c r="N317" s="16"/>
      <c r="O317" s="1"/>
    </row>
    <row r="318" spans="1:15" ht="12.75">
      <c r="A318" s="1"/>
      <c r="D318" s="8" t="s">
        <v>539</v>
      </c>
      <c r="E318" s="9" t="s">
        <v>840</v>
      </c>
      <c r="G318" s="12">
        <v>0.5248</v>
      </c>
      <c r="N318" s="16"/>
      <c r="O318" s="1"/>
    </row>
    <row r="319" spans="1:64" ht="12.75">
      <c r="A319" s="60" t="s">
        <v>58</v>
      </c>
      <c r="B319" s="5"/>
      <c r="C319" s="5" t="s">
        <v>221</v>
      </c>
      <c r="D319" s="176" t="s">
        <v>542</v>
      </c>
      <c r="E319" s="177"/>
      <c r="F319" s="5" t="s">
        <v>881</v>
      </c>
      <c r="G319" s="11">
        <v>7.7799</v>
      </c>
      <c r="H319" s="103"/>
      <c r="I319" s="11">
        <f>G319*AO319</f>
        <v>0</v>
      </c>
      <c r="J319" s="11">
        <f>G319*AP319</f>
        <v>0</v>
      </c>
      <c r="K319" s="11">
        <f>G319*H319</f>
        <v>0</v>
      </c>
      <c r="L319" s="11">
        <v>0.25837</v>
      </c>
      <c r="M319" s="11">
        <f>G319*L319</f>
        <v>2.010092763</v>
      </c>
      <c r="N319" s="15" t="s">
        <v>912</v>
      </c>
      <c r="O319" s="1"/>
      <c r="Z319" s="20">
        <f>IF(AQ319="5",BJ319,0)</f>
        <v>0</v>
      </c>
      <c r="AB319" s="20">
        <f>IF(AQ319="1",BH319,0)</f>
        <v>0</v>
      </c>
      <c r="AC319" s="20">
        <f>IF(AQ319="1",BI319,0)</f>
        <v>0</v>
      </c>
      <c r="AD319" s="20">
        <f>IF(AQ319="7",BH319,0)</f>
        <v>0</v>
      </c>
      <c r="AE319" s="20">
        <f>IF(AQ319="7",BI319,0)</f>
        <v>0</v>
      </c>
      <c r="AF319" s="20">
        <f>IF(AQ319="2",BH319,0)</f>
        <v>0</v>
      </c>
      <c r="AG319" s="20">
        <f>IF(AQ319="2",BI319,0)</f>
        <v>0</v>
      </c>
      <c r="AH319" s="20">
        <f>IF(AQ319="0",BJ319,0)</f>
        <v>0</v>
      </c>
      <c r="AI319" s="14"/>
      <c r="AJ319" s="11">
        <f>IF(AN319=0,K319,0)</f>
        <v>0</v>
      </c>
      <c r="AK319" s="11">
        <f>IF(AN319=15,K319,0)</f>
        <v>0</v>
      </c>
      <c r="AL319" s="11">
        <f>IF(AN319=21,K319,0)</f>
        <v>0</v>
      </c>
      <c r="AN319" s="20">
        <v>21</v>
      </c>
      <c r="AO319" s="20">
        <f>H319*0.666658550314941</f>
        <v>0</v>
      </c>
      <c r="AP319" s="20">
        <f>H319*(1-0.666658550314941)</f>
        <v>0</v>
      </c>
      <c r="AQ319" s="21" t="s">
        <v>7</v>
      </c>
      <c r="AV319" s="20">
        <f>AW319+AX319</f>
        <v>0</v>
      </c>
      <c r="AW319" s="20">
        <f>G319*AO319</f>
        <v>0</v>
      </c>
      <c r="AX319" s="20">
        <f>G319*AP319</f>
        <v>0</v>
      </c>
      <c r="AY319" s="23" t="s">
        <v>934</v>
      </c>
      <c r="AZ319" s="23" t="s">
        <v>967</v>
      </c>
      <c r="BA319" s="14" t="s">
        <v>976</v>
      </c>
      <c r="BC319" s="20">
        <f>AW319+AX319</f>
        <v>0</v>
      </c>
      <c r="BD319" s="20">
        <f>H319/(100-BE319)*100</f>
        <v>0</v>
      </c>
      <c r="BE319" s="20">
        <v>0</v>
      </c>
      <c r="BF319" s="20">
        <f>M319</f>
        <v>2.010092763</v>
      </c>
      <c r="BH319" s="11">
        <f>G319*AO319</f>
        <v>0</v>
      </c>
      <c r="BI319" s="11">
        <f>G319*AP319</f>
        <v>0</v>
      </c>
      <c r="BJ319" s="11">
        <f>G319*H319</f>
        <v>0</v>
      </c>
      <c r="BK319" s="11" t="s">
        <v>981</v>
      </c>
      <c r="BL319" s="20">
        <v>63</v>
      </c>
    </row>
    <row r="320" spans="1:15" ht="12.75">
      <c r="A320" s="1"/>
      <c r="D320" s="8" t="s">
        <v>534</v>
      </c>
      <c r="E320" s="9" t="s">
        <v>835</v>
      </c>
      <c r="G320" s="12">
        <v>1.3568</v>
      </c>
      <c r="N320" s="16"/>
      <c r="O320" s="1"/>
    </row>
    <row r="321" spans="1:15" ht="12.75">
      <c r="A321" s="1"/>
      <c r="D321" s="8" t="s">
        <v>535</v>
      </c>
      <c r="E321" s="9" t="s">
        <v>836</v>
      </c>
      <c r="G321" s="12">
        <v>1.152</v>
      </c>
      <c r="N321" s="16"/>
      <c r="O321" s="1"/>
    </row>
    <row r="322" spans="1:15" ht="12.75">
      <c r="A322" s="1"/>
      <c r="D322" s="8" t="s">
        <v>536</v>
      </c>
      <c r="E322" s="9" t="s">
        <v>837</v>
      </c>
      <c r="G322" s="12">
        <v>2.4743</v>
      </c>
      <c r="N322" s="16"/>
      <c r="O322" s="1"/>
    </row>
    <row r="323" spans="1:15" ht="12.75">
      <c r="A323" s="1"/>
      <c r="D323" s="8" t="s">
        <v>537</v>
      </c>
      <c r="E323" s="9" t="s">
        <v>838</v>
      </c>
      <c r="G323" s="12">
        <v>1.696</v>
      </c>
      <c r="N323" s="16"/>
      <c r="O323" s="1"/>
    </row>
    <row r="324" spans="1:15" ht="12.75">
      <c r="A324" s="1"/>
      <c r="D324" s="8" t="s">
        <v>538</v>
      </c>
      <c r="E324" s="9" t="s">
        <v>839</v>
      </c>
      <c r="G324" s="12">
        <v>0.576</v>
      </c>
      <c r="N324" s="16"/>
      <c r="O324" s="1"/>
    </row>
    <row r="325" spans="1:15" ht="12.75">
      <c r="A325" s="1"/>
      <c r="D325" s="8" t="s">
        <v>539</v>
      </c>
      <c r="E325" s="9" t="s">
        <v>840</v>
      </c>
      <c r="G325" s="12">
        <v>0.5248</v>
      </c>
      <c r="N325" s="16"/>
      <c r="O325" s="1"/>
    </row>
    <row r="326" spans="1:64" ht="12.75">
      <c r="A326" s="60" t="s">
        <v>59</v>
      </c>
      <c r="B326" s="5"/>
      <c r="C326" s="5" t="s">
        <v>222</v>
      </c>
      <c r="D326" s="176" t="s">
        <v>543</v>
      </c>
      <c r="E326" s="177"/>
      <c r="F326" s="5" t="s">
        <v>881</v>
      </c>
      <c r="G326" s="11">
        <v>68.6</v>
      </c>
      <c r="H326" s="103"/>
      <c r="I326" s="11">
        <f>G326*AO326</f>
        <v>0</v>
      </c>
      <c r="J326" s="11">
        <f>G326*AP326</f>
        <v>0</v>
      </c>
      <c r="K326" s="11">
        <f>G326*H326</f>
        <v>0</v>
      </c>
      <c r="L326" s="11">
        <v>0.4</v>
      </c>
      <c r="M326" s="11">
        <f>G326*L326</f>
        <v>27.439999999999998</v>
      </c>
      <c r="N326" s="15" t="s">
        <v>913</v>
      </c>
      <c r="O326" s="1"/>
      <c r="Z326" s="20">
        <f>IF(AQ326="5",BJ326,0)</f>
        <v>0</v>
      </c>
      <c r="AB326" s="20">
        <f>IF(AQ326="1",BH326,0)</f>
        <v>0</v>
      </c>
      <c r="AC326" s="20">
        <f>IF(AQ326="1",BI326,0)</f>
        <v>0</v>
      </c>
      <c r="AD326" s="20">
        <f>IF(AQ326="7",BH326,0)</f>
        <v>0</v>
      </c>
      <c r="AE326" s="20">
        <f>IF(AQ326="7",BI326,0)</f>
        <v>0</v>
      </c>
      <c r="AF326" s="20">
        <f>IF(AQ326="2",BH326,0)</f>
        <v>0</v>
      </c>
      <c r="AG326" s="20">
        <f>IF(AQ326="2",BI326,0)</f>
        <v>0</v>
      </c>
      <c r="AH326" s="20">
        <f>IF(AQ326="0",BJ326,0)</f>
        <v>0</v>
      </c>
      <c r="AI326" s="14"/>
      <c r="AJ326" s="11">
        <f>IF(AN326=0,K326,0)</f>
        <v>0</v>
      </c>
      <c r="AK326" s="11">
        <f>IF(AN326=15,K326,0)</f>
        <v>0</v>
      </c>
      <c r="AL326" s="11">
        <f>IF(AN326=21,K326,0)</f>
        <v>0</v>
      </c>
      <c r="AN326" s="20">
        <v>21</v>
      </c>
      <c r="AO326" s="20">
        <f>H326*0.749434713763098</f>
        <v>0</v>
      </c>
      <c r="AP326" s="20">
        <f>H326*(1-0.749434713763098)</f>
        <v>0</v>
      </c>
      <c r="AQ326" s="21" t="s">
        <v>7</v>
      </c>
      <c r="AV326" s="20">
        <f>AW326+AX326</f>
        <v>0</v>
      </c>
      <c r="AW326" s="20">
        <f>G326*AO326</f>
        <v>0</v>
      </c>
      <c r="AX326" s="20">
        <f>G326*AP326</f>
        <v>0</v>
      </c>
      <c r="AY326" s="23" t="s">
        <v>934</v>
      </c>
      <c r="AZ326" s="23" t="s">
        <v>967</v>
      </c>
      <c r="BA326" s="14" t="s">
        <v>976</v>
      </c>
      <c r="BC326" s="20">
        <f>AW326+AX326</f>
        <v>0</v>
      </c>
      <c r="BD326" s="20">
        <f>H326/(100-BE326)*100</f>
        <v>0</v>
      </c>
      <c r="BE326" s="20">
        <v>0</v>
      </c>
      <c r="BF326" s="20">
        <f>M326</f>
        <v>27.439999999999998</v>
      </c>
      <c r="BH326" s="11">
        <f>G326*AO326</f>
        <v>0</v>
      </c>
      <c r="BI326" s="11">
        <f>G326*AP326</f>
        <v>0</v>
      </c>
      <c r="BJ326" s="11">
        <f>G326*H326</f>
        <v>0</v>
      </c>
      <c r="BK326" s="11" t="s">
        <v>981</v>
      </c>
      <c r="BL326" s="20">
        <v>63</v>
      </c>
    </row>
    <row r="327" spans="1:15" ht="12.75">
      <c r="A327" s="1"/>
      <c r="D327" s="8" t="s">
        <v>412</v>
      </c>
      <c r="E327" s="9" t="s">
        <v>785</v>
      </c>
      <c r="G327" s="12">
        <v>23.41</v>
      </c>
      <c r="N327" s="16"/>
      <c r="O327" s="1"/>
    </row>
    <row r="328" spans="1:15" ht="12.75">
      <c r="A328" s="1"/>
      <c r="D328" s="8" t="s">
        <v>413</v>
      </c>
      <c r="E328" s="9" t="s">
        <v>786</v>
      </c>
      <c r="G328" s="12">
        <v>24.66</v>
      </c>
      <c r="N328" s="16"/>
      <c r="O328" s="1"/>
    </row>
    <row r="329" spans="1:15" ht="12.75">
      <c r="A329" s="1"/>
      <c r="D329" s="8" t="s">
        <v>414</v>
      </c>
      <c r="E329" s="9" t="s">
        <v>787</v>
      </c>
      <c r="G329" s="12">
        <v>20.53</v>
      </c>
      <c r="N329" s="16"/>
      <c r="O329" s="1"/>
    </row>
    <row r="330" spans="1:47" ht="12.75">
      <c r="A330" s="2"/>
      <c r="B330" s="6"/>
      <c r="C330" s="6" t="s">
        <v>223</v>
      </c>
      <c r="D330" s="174" t="s">
        <v>544</v>
      </c>
      <c r="E330" s="175"/>
      <c r="F330" s="10" t="s">
        <v>6</v>
      </c>
      <c r="G330" s="10" t="s">
        <v>6</v>
      </c>
      <c r="H330" s="10"/>
      <c r="I330" s="25">
        <f>SUM(I331:I371)</f>
        <v>0</v>
      </c>
      <c r="J330" s="25">
        <f>SUM(J331:J371)</f>
        <v>0</v>
      </c>
      <c r="K330" s="25">
        <f>SUM(K331:K371)</f>
        <v>0</v>
      </c>
      <c r="L330" s="14"/>
      <c r="M330" s="25">
        <f>SUM(M331:M371)</f>
        <v>2.3563701999999997</v>
      </c>
      <c r="N330" s="17"/>
      <c r="O330" s="1"/>
      <c r="AI330" s="14"/>
      <c r="AS330" s="25">
        <f>SUM(AJ331:AJ371)</f>
        <v>0</v>
      </c>
      <c r="AT330" s="25">
        <f>SUM(AK331:AK371)</f>
        <v>0</v>
      </c>
      <c r="AU330" s="25">
        <f>SUM(AL331:AL371)</f>
        <v>0</v>
      </c>
    </row>
    <row r="331" spans="1:64" ht="12.75">
      <c r="A331" s="60" t="s">
        <v>60</v>
      </c>
      <c r="B331" s="5"/>
      <c r="C331" s="5" t="s">
        <v>224</v>
      </c>
      <c r="D331" s="176" t="s">
        <v>545</v>
      </c>
      <c r="E331" s="177"/>
      <c r="F331" s="5" t="s">
        <v>881</v>
      </c>
      <c r="G331" s="11">
        <v>159.92</v>
      </c>
      <c r="H331" s="103"/>
      <c r="I331" s="11">
        <f>G331*AO331</f>
        <v>0</v>
      </c>
      <c r="J331" s="11">
        <f>G331*AP331</f>
        <v>0</v>
      </c>
      <c r="K331" s="11">
        <f>G331*H331</f>
        <v>0</v>
      </c>
      <c r="L331" s="11">
        <v>0.00463</v>
      </c>
      <c r="M331" s="11">
        <f>G331*L331</f>
        <v>0.7404295999999999</v>
      </c>
      <c r="N331" s="15" t="s">
        <v>912</v>
      </c>
      <c r="O331" s="1"/>
      <c r="Z331" s="20">
        <f>IF(AQ331="5",BJ331,0)</f>
        <v>0</v>
      </c>
      <c r="AB331" s="20">
        <f>IF(AQ331="1",BH331,0)</f>
        <v>0</v>
      </c>
      <c r="AC331" s="20">
        <f>IF(AQ331="1",BI331,0)</f>
        <v>0</v>
      </c>
      <c r="AD331" s="20">
        <f>IF(AQ331="7",BH331,0)</f>
        <v>0</v>
      </c>
      <c r="AE331" s="20">
        <f>IF(AQ331="7",BI331,0)</f>
        <v>0</v>
      </c>
      <c r="AF331" s="20">
        <f>IF(AQ331="2",BH331,0)</f>
        <v>0</v>
      </c>
      <c r="AG331" s="20">
        <f>IF(AQ331="2",BI331,0)</f>
        <v>0</v>
      </c>
      <c r="AH331" s="20">
        <f>IF(AQ331="0",BJ331,0)</f>
        <v>0</v>
      </c>
      <c r="AI331" s="14"/>
      <c r="AJ331" s="11">
        <f>IF(AN331=0,K331,0)</f>
        <v>0</v>
      </c>
      <c r="AK331" s="11">
        <f>IF(AN331=15,K331,0)</f>
        <v>0</v>
      </c>
      <c r="AL331" s="11">
        <f>IF(AN331=21,K331,0)</f>
        <v>0</v>
      </c>
      <c r="AN331" s="20">
        <v>21</v>
      </c>
      <c r="AO331" s="20">
        <f>H331*0.645872895250468</f>
        <v>0</v>
      </c>
      <c r="AP331" s="20">
        <f>H331*(1-0.645872895250468)</f>
        <v>0</v>
      </c>
      <c r="AQ331" s="21" t="s">
        <v>13</v>
      </c>
      <c r="AV331" s="20">
        <f>AW331+AX331</f>
        <v>0</v>
      </c>
      <c r="AW331" s="20">
        <f>G331*AO331</f>
        <v>0</v>
      </c>
      <c r="AX331" s="20">
        <f>G331*AP331</f>
        <v>0</v>
      </c>
      <c r="AY331" s="23" t="s">
        <v>935</v>
      </c>
      <c r="AZ331" s="23" t="s">
        <v>968</v>
      </c>
      <c r="BA331" s="14" t="s">
        <v>976</v>
      </c>
      <c r="BC331" s="20">
        <f>AW331+AX331</f>
        <v>0</v>
      </c>
      <c r="BD331" s="20">
        <f>H331/(100-BE331)*100</f>
        <v>0</v>
      </c>
      <c r="BE331" s="20">
        <v>0</v>
      </c>
      <c r="BF331" s="20">
        <f>M331</f>
        <v>0.7404295999999999</v>
      </c>
      <c r="BH331" s="11">
        <f>G331*AO331</f>
        <v>0</v>
      </c>
      <c r="BI331" s="11">
        <f>G331*AP331</f>
        <v>0</v>
      </c>
      <c r="BJ331" s="11">
        <f>G331*H331</f>
        <v>0</v>
      </c>
      <c r="BK331" s="11" t="s">
        <v>981</v>
      </c>
      <c r="BL331" s="20">
        <v>711</v>
      </c>
    </row>
    <row r="332" spans="1:15" ht="12.75">
      <c r="A332" s="1"/>
      <c r="D332" s="8" t="s">
        <v>455</v>
      </c>
      <c r="E332" s="9" t="s">
        <v>796</v>
      </c>
      <c r="G332" s="12">
        <v>60.42</v>
      </c>
      <c r="N332" s="16"/>
      <c r="O332" s="1"/>
    </row>
    <row r="333" spans="1:15" ht="12.75">
      <c r="A333" s="1"/>
      <c r="D333" s="8" t="s">
        <v>456</v>
      </c>
      <c r="E333" s="9" t="s">
        <v>798</v>
      </c>
      <c r="G333" s="12">
        <v>62.196</v>
      </c>
      <c r="N333" s="16"/>
      <c r="O333" s="1"/>
    </row>
    <row r="334" spans="1:15" ht="12.75">
      <c r="A334" s="1"/>
      <c r="D334" s="8" t="s">
        <v>457</v>
      </c>
      <c r="E334" s="9" t="s">
        <v>799</v>
      </c>
      <c r="G334" s="12">
        <v>28.572</v>
      </c>
      <c r="N334" s="16"/>
      <c r="O334" s="1"/>
    </row>
    <row r="335" spans="1:15" ht="12.75">
      <c r="A335" s="1"/>
      <c r="D335" s="63" t="s">
        <v>435</v>
      </c>
      <c r="E335" s="63" t="s">
        <v>804</v>
      </c>
      <c r="G335" s="12">
        <v>8.736</v>
      </c>
      <c r="N335" s="16"/>
      <c r="O335" s="1"/>
    </row>
    <row r="336" spans="1:64" ht="12.75">
      <c r="A336" s="60" t="s">
        <v>61</v>
      </c>
      <c r="B336" s="5"/>
      <c r="C336" s="5" t="s">
        <v>225</v>
      </c>
      <c r="D336" s="176" t="s">
        <v>546</v>
      </c>
      <c r="E336" s="177"/>
      <c r="F336" s="5" t="s">
        <v>881</v>
      </c>
      <c r="G336" s="11">
        <v>159.92</v>
      </c>
      <c r="H336" s="103"/>
      <c r="I336" s="11">
        <f>G336*AO336</f>
        <v>0</v>
      </c>
      <c r="J336" s="11">
        <f>G336*AP336</f>
        <v>0</v>
      </c>
      <c r="K336" s="11">
        <f>G336*H336</f>
        <v>0</v>
      </c>
      <c r="L336" s="11">
        <v>0.00315</v>
      </c>
      <c r="M336" s="11">
        <f>G336*L336</f>
        <v>0.503748</v>
      </c>
      <c r="N336" s="15" t="s">
        <v>913</v>
      </c>
      <c r="O336" s="1"/>
      <c r="Z336" s="20">
        <f>IF(AQ336="5",BJ336,0)</f>
        <v>0</v>
      </c>
      <c r="AB336" s="20">
        <f>IF(AQ336="1",BH336,0)</f>
        <v>0</v>
      </c>
      <c r="AC336" s="20">
        <f>IF(AQ336="1",BI336,0)</f>
        <v>0</v>
      </c>
      <c r="AD336" s="20">
        <f>IF(AQ336="7",BH336,0)</f>
        <v>0</v>
      </c>
      <c r="AE336" s="20">
        <f>IF(AQ336="7",BI336,0)</f>
        <v>0</v>
      </c>
      <c r="AF336" s="20">
        <f>IF(AQ336="2",BH336,0)</f>
        <v>0</v>
      </c>
      <c r="AG336" s="20">
        <f>IF(AQ336="2",BI336,0)</f>
        <v>0</v>
      </c>
      <c r="AH336" s="20">
        <f>IF(AQ336="0",BJ336,0)</f>
        <v>0</v>
      </c>
      <c r="AI336" s="14"/>
      <c r="AJ336" s="11">
        <f>IF(AN336=0,K336,0)</f>
        <v>0</v>
      </c>
      <c r="AK336" s="11">
        <f>IF(AN336=15,K336,0)</f>
        <v>0</v>
      </c>
      <c r="AL336" s="11">
        <f>IF(AN336=21,K336,0)</f>
        <v>0</v>
      </c>
      <c r="AN336" s="20">
        <v>21</v>
      </c>
      <c r="AO336" s="20">
        <f>H336*0.614122685427922</f>
        <v>0</v>
      </c>
      <c r="AP336" s="20">
        <f>H336*(1-0.614122685427922)</f>
        <v>0</v>
      </c>
      <c r="AQ336" s="21" t="s">
        <v>13</v>
      </c>
      <c r="AV336" s="20">
        <f>AW336+AX336</f>
        <v>0</v>
      </c>
      <c r="AW336" s="20">
        <f>G336*AO336</f>
        <v>0</v>
      </c>
      <c r="AX336" s="20">
        <f>G336*AP336</f>
        <v>0</v>
      </c>
      <c r="AY336" s="23" t="s">
        <v>935</v>
      </c>
      <c r="AZ336" s="23" t="s">
        <v>968</v>
      </c>
      <c r="BA336" s="14" t="s">
        <v>976</v>
      </c>
      <c r="BC336" s="20">
        <f>AW336+AX336</f>
        <v>0</v>
      </c>
      <c r="BD336" s="20">
        <f>H336/(100-BE336)*100</f>
        <v>0</v>
      </c>
      <c r="BE336" s="20">
        <v>0</v>
      </c>
      <c r="BF336" s="20">
        <f>M336</f>
        <v>0.503748</v>
      </c>
      <c r="BH336" s="11">
        <f>G336*AO336</f>
        <v>0</v>
      </c>
      <c r="BI336" s="11">
        <f>G336*AP336</f>
        <v>0</v>
      </c>
      <c r="BJ336" s="11">
        <f>G336*H336</f>
        <v>0</v>
      </c>
      <c r="BK336" s="11" t="s">
        <v>981</v>
      </c>
      <c r="BL336" s="20">
        <v>711</v>
      </c>
    </row>
    <row r="337" spans="1:15" ht="12.75">
      <c r="A337" s="1"/>
      <c r="D337" s="8" t="s">
        <v>455</v>
      </c>
      <c r="E337" s="9" t="s">
        <v>796</v>
      </c>
      <c r="G337" s="12">
        <v>60.42</v>
      </c>
      <c r="N337" s="16"/>
      <c r="O337" s="1"/>
    </row>
    <row r="338" spans="1:15" ht="12.75">
      <c r="A338" s="1"/>
      <c r="D338" s="8" t="s">
        <v>456</v>
      </c>
      <c r="E338" s="9" t="s">
        <v>798</v>
      </c>
      <c r="G338" s="12">
        <v>62.196</v>
      </c>
      <c r="N338" s="16"/>
      <c r="O338" s="1"/>
    </row>
    <row r="339" spans="1:15" ht="12.75">
      <c r="A339" s="1"/>
      <c r="D339" s="8" t="s">
        <v>457</v>
      </c>
      <c r="E339" s="9" t="s">
        <v>799</v>
      </c>
      <c r="G339" s="12">
        <v>28.572</v>
      </c>
      <c r="N339" s="16"/>
      <c r="O339" s="1"/>
    </row>
    <row r="340" spans="1:15" ht="12.75">
      <c r="A340" s="1"/>
      <c r="D340" s="63" t="s">
        <v>435</v>
      </c>
      <c r="E340" s="63" t="s">
        <v>804</v>
      </c>
      <c r="G340" s="12">
        <v>8.736</v>
      </c>
      <c r="N340" s="16"/>
      <c r="O340" s="1"/>
    </row>
    <row r="341" spans="1:64" ht="12.75">
      <c r="A341" s="60" t="s">
        <v>62</v>
      </c>
      <c r="B341" s="5"/>
      <c r="C341" s="5" t="s">
        <v>226</v>
      </c>
      <c r="D341" s="176" t="s">
        <v>547</v>
      </c>
      <c r="E341" s="177"/>
      <c r="F341" s="5" t="s">
        <v>881</v>
      </c>
      <c r="G341" s="11">
        <v>63</v>
      </c>
      <c r="H341" s="103"/>
      <c r="I341" s="11">
        <f>G341*AO341</f>
        <v>0</v>
      </c>
      <c r="J341" s="11">
        <f>G341*AP341</f>
        <v>0</v>
      </c>
      <c r="K341" s="11">
        <f>G341*H341</f>
        <v>0</v>
      </c>
      <c r="L341" s="11">
        <v>0.00017</v>
      </c>
      <c r="M341" s="11">
        <f>G341*L341</f>
        <v>0.01071</v>
      </c>
      <c r="N341" s="15" t="s">
        <v>912</v>
      </c>
      <c r="O341" s="1"/>
      <c r="Z341" s="20">
        <f>IF(AQ341="5",BJ341,0)</f>
        <v>0</v>
      </c>
      <c r="AB341" s="20">
        <f>IF(AQ341="1",BH341,0)</f>
        <v>0</v>
      </c>
      <c r="AC341" s="20">
        <f>IF(AQ341="1",BI341,0)</f>
        <v>0</v>
      </c>
      <c r="AD341" s="20">
        <f>IF(AQ341="7",BH341,0)</f>
        <v>0</v>
      </c>
      <c r="AE341" s="20">
        <f>IF(AQ341="7",BI341,0)</f>
        <v>0</v>
      </c>
      <c r="AF341" s="20">
        <f>IF(AQ341="2",BH341,0)</f>
        <v>0</v>
      </c>
      <c r="AG341" s="20">
        <f>IF(AQ341="2",BI341,0)</f>
        <v>0</v>
      </c>
      <c r="AH341" s="20">
        <f>IF(AQ341="0",BJ341,0)</f>
        <v>0</v>
      </c>
      <c r="AI341" s="14"/>
      <c r="AJ341" s="11">
        <f>IF(AN341=0,K341,0)</f>
        <v>0</v>
      </c>
      <c r="AK341" s="11">
        <f>IF(AN341=15,K341,0)</f>
        <v>0</v>
      </c>
      <c r="AL341" s="11">
        <f>IF(AN341=21,K341,0)</f>
        <v>0</v>
      </c>
      <c r="AN341" s="20">
        <v>21</v>
      </c>
      <c r="AO341" s="20">
        <f>H341*0.528238636363636</f>
        <v>0</v>
      </c>
      <c r="AP341" s="20">
        <f>H341*(1-0.528238636363636)</f>
        <v>0</v>
      </c>
      <c r="AQ341" s="21" t="s">
        <v>13</v>
      </c>
      <c r="AV341" s="20">
        <f>AW341+AX341</f>
        <v>0</v>
      </c>
      <c r="AW341" s="20">
        <f>G341*AO341</f>
        <v>0</v>
      </c>
      <c r="AX341" s="20">
        <f>G341*AP341</f>
        <v>0</v>
      </c>
      <c r="AY341" s="23" t="s">
        <v>935</v>
      </c>
      <c r="AZ341" s="23" t="s">
        <v>968</v>
      </c>
      <c r="BA341" s="14" t="s">
        <v>976</v>
      </c>
      <c r="BC341" s="20">
        <f>AW341+AX341</f>
        <v>0</v>
      </c>
      <c r="BD341" s="20">
        <f>H341/(100-BE341)*100</f>
        <v>0</v>
      </c>
      <c r="BE341" s="20">
        <v>0</v>
      </c>
      <c r="BF341" s="20">
        <f>M341</f>
        <v>0.01071</v>
      </c>
      <c r="BH341" s="11">
        <f>G341*AO341</f>
        <v>0</v>
      </c>
      <c r="BI341" s="11">
        <f>G341*AP341</f>
        <v>0</v>
      </c>
      <c r="BJ341" s="11">
        <f>G341*H341</f>
        <v>0</v>
      </c>
      <c r="BK341" s="11" t="s">
        <v>981</v>
      </c>
      <c r="BL341" s="20">
        <v>711</v>
      </c>
    </row>
    <row r="342" spans="1:15" ht="12.75">
      <c r="A342" s="1"/>
      <c r="D342" s="8" t="s">
        <v>548</v>
      </c>
      <c r="E342" s="9" t="s">
        <v>796</v>
      </c>
      <c r="G342" s="12">
        <v>25.175</v>
      </c>
      <c r="N342" s="16"/>
      <c r="O342" s="1"/>
    </row>
    <row r="343" spans="1:15" ht="12.75">
      <c r="A343" s="1"/>
      <c r="D343" s="8" t="s">
        <v>549</v>
      </c>
      <c r="E343" s="9" t="s">
        <v>798</v>
      </c>
      <c r="G343" s="12">
        <v>25.915</v>
      </c>
      <c r="N343" s="16"/>
      <c r="O343" s="1"/>
    </row>
    <row r="344" spans="1:15" ht="12.75">
      <c r="A344" s="1"/>
      <c r="D344" s="8" t="s">
        <v>550</v>
      </c>
      <c r="E344" s="9" t="s">
        <v>799</v>
      </c>
      <c r="G344" s="12">
        <v>11.905</v>
      </c>
      <c r="N344" s="16"/>
      <c r="O344" s="1"/>
    </row>
    <row r="345" spans="1:64" ht="12.75">
      <c r="A345" s="60" t="s">
        <v>63</v>
      </c>
      <c r="B345" s="5"/>
      <c r="C345" s="5" t="s">
        <v>227</v>
      </c>
      <c r="D345" s="176" t="s">
        <v>551</v>
      </c>
      <c r="E345" s="177"/>
      <c r="F345" s="5" t="s">
        <v>883</v>
      </c>
      <c r="G345" s="11">
        <v>100.82</v>
      </c>
      <c r="H345" s="103"/>
      <c r="I345" s="11">
        <f>G345*AO345</f>
        <v>0</v>
      </c>
      <c r="J345" s="11">
        <f>G345*AP345</f>
        <v>0</v>
      </c>
      <c r="K345" s="11">
        <f>G345*H345</f>
        <v>0</v>
      </c>
      <c r="L345" s="11">
        <v>0.00053</v>
      </c>
      <c r="M345" s="11">
        <f>G345*L345</f>
        <v>0.05343459999999999</v>
      </c>
      <c r="N345" s="15" t="s">
        <v>912</v>
      </c>
      <c r="O345" s="1"/>
      <c r="Z345" s="20">
        <f>IF(AQ345="5",BJ345,0)</f>
        <v>0</v>
      </c>
      <c r="AB345" s="20">
        <f>IF(AQ345="1",BH345,0)</f>
        <v>0</v>
      </c>
      <c r="AC345" s="20">
        <f>IF(AQ345="1",BI345,0)</f>
        <v>0</v>
      </c>
      <c r="AD345" s="20">
        <f>IF(AQ345="7",BH345,0)</f>
        <v>0</v>
      </c>
      <c r="AE345" s="20">
        <f>IF(AQ345="7",BI345,0)</f>
        <v>0</v>
      </c>
      <c r="AF345" s="20">
        <f>IF(AQ345="2",BH345,0)</f>
        <v>0</v>
      </c>
      <c r="AG345" s="20">
        <f>IF(AQ345="2",BI345,0)</f>
        <v>0</v>
      </c>
      <c r="AH345" s="20">
        <f>IF(AQ345="0",BJ345,0)</f>
        <v>0</v>
      </c>
      <c r="AI345" s="14"/>
      <c r="AJ345" s="11">
        <f>IF(AN345=0,K345,0)</f>
        <v>0</v>
      </c>
      <c r="AK345" s="11">
        <f>IF(AN345=15,K345,0)</f>
        <v>0</v>
      </c>
      <c r="AL345" s="11">
        <f>IF(AN345=21,K345,0)</f>
        <v>0</v>
      </c>
      <c r="AN345" s="20">
        <v>21</v>
      </c>
      <c r="AO345" s="20">
        <f>H345*0.674670935517057</f>
        <v>0</v>
      </c>
      <c r="AP345" s="20">
        <f>H345*(1-0.674670935517057)</f>
        <v>0</v>
      </c>
      <c r="AQ345" s="21" t="s">
        <v>13</v>
      </c>
      <c r="AV345" s="20">
        <f>AW345+AX345</f>
        <v>0</v>
      </c>
      <c r="AW345" s="20">
        <f>G345*AO345</f>
        <v>0</v>
      </c>
      <c r="AX345" s="20">
        <f>G345*AP345</f>
        <v>0</v>
      </c>
      <c r="AY345" s="23" t="s">
        <v>935</v>
      </c>
      <c r="AZ345" s="23" t="s">
        <v>968</v>
      </c>
      <c r="BA345" s="14" t="s">
        <v>976</v>
      </c>
      <c r="BC345" s="20">
        <f>AW345+AX345</f>
        <v>0</v>
      </c>
      <c r="BD345" s="20">
        <f>H345/(100-BE345)*100</f>
        <v>0</v>
      </c>
      <c r="BE345" s="20">
        <v>0</v>
      </c>
      <c r="BF345" s="20">
        <f>M345</f>
        <v>0.05343459999999999</v>
      </c>
      <c r="BH345" s="11">
        <f>G345*AO345</f>
        <v>0</v>
      </c>
      <c r="BI345" s="11">
        <f>G345*AP345</f>
        <v>0</v>
      </c>
      <c r="BJ345" s="11">
        <f>G345*H345</f>
        <v>0</v>
      </c>
      <c r="BK345" s="11" t="s">
        <v>981</v>
      </c>
      <c r="BL345" s="20">
        <v>711</v>
      </c>
    </row>
    <row r="346" spans="1:15" ht="12.75">
      <c r="A346" s="1"/>
      <c r="D346" s="8" t="s">
        <v>548</v>
      </c>
      <c r="E346" s="9" t="s">
        <v>796</v>
      </c>
      <c r="G346" s="12">
        <v>25.175</v>
      </c>
      <c r="N346" s="16"/>
      <c r="O346" s="1"/>
    </row>
    <row r="347" spans="1:15" ht="12.75">
      <c r="A347" s="1"/>
      <c r="D347" s="8" t="s">
        <v>477</v>
      </c>
      <c r="E347" s="9" t="s">
        <v>798</v>
      </c>
      <c r="G347" s="12">
        <v>51.83</v>
      </c>
      <c r="N347" s="16"/>
      <c r="O347" s="1"/>
    </row>
    <row r="348" spans="1:15" ht="12.75">
      <c r="A348" s="1"/>
      <c r="D348" s="8" t="s">
        <v>478</v>
      </c>
      <c r="E348" s="9" t="s">
        <v>799</v>
      </c>
      <c r="G348" s="12">
        <v>23.81</v>
      </c>
      <c r="N348" s="16"/>
      <c r="O348" s="1"/>
    </row>
    <row r="349" spans="1:64" ht="12.75">
      <c r="A349" s="60" t="s">
        <v>64</v>
      </c>
      <c r="B349" s="5"/>
      <c r="C349" s="5" t="s">
        <v>228</v>
      </c>
      <c r="D349" s="176" t="s">
        <v>552</v>
      </c>
      <c r="E349" s="177"/>
      <c r="F349" s="5" t="s">
        <v>881</v>
      </c>
      <c r="G349" s="11">
        <v>63</v>
      </c>
      <c r="H349" s="103"/>
      <c r="I349" s="11">
        <f>G349*AO349</f>
        <v>0</v>
      </c>
      <c r="J349" s="11">
        <f>G349*AP349</f>
        <v>0</v>
      </c>
      <c r="K349" s="11">
        <f>G349*H349</f>
        <v>0</v>
      </c>
      <c r="L349" s="11">
        <v>0.00019</v>
      </c>
      <c r="M349" s="11">
        <f>G349*L349</f>
        <v>0.011970000000000001</v>
      </c>
      <c r="N349" s="15" t="s">
        <v>912</v>
      </c>
      <c r="O349" s="1"/>
      <c r="Z349" s="20">
        <f>IF(AQ349="5",BJ349,0)</f>
        <v>0</v>
      </c>
      <c r="AB349" s="20">
        <f>IF(AQ349="1",BH349,0)</f>
        <v>0</v>
      </c>
      <c r="AC349" s="20">
        <f>IF(AQ349="1",BI349,0)</f>
        <v>0</v>
      </c>
      <c r="AD349" s="20">
        <f>IF(AQ349="7",BH349,0)</f>
        <v>0</v>
      </c>
      <c r="AE349" s="20">
        <f>IF(AQ349="7",BI349,0)</f>
        <v>0</v>
      </c>
      <c r="AF349" s="20">
        <f>IF(AQ349="2",BH349,0)</f>
        <v>0</v>
      </c>
      <c r="AG349" s="20">
        <f>IF(AQ349="2",BI349,0)</f>
        <v>0</v>
      </c>
      <c r="AH349" s="20">
        <f>IF(AQ349="0",BJ349,0)</f>
        <v>0</v>
      </c>
      <c r="AI349" s="14"/>
      <c r="AJ349" s="11">
        <f>IF(AN349=0,K349,0)</f>
        <v>0</v>
      </c>
      <c r="AK349" s="11">
        <f>IF(AN349=15,K349,0)</f>
        <v>0</v>
      </c>
      <c r="AL349" s="11">
        <f>IF(AN349=21,K349,0)</f>
        <v>0</v>
      </c>
      <c r="AN349" s="20">
        <v>21</v>
      </c>
      <c r="AO349" s="20">
        <f>H349*0.084</f>
        <v>0</v>
      </c>
      <c r="AP349" s="20">
        <f>H349*(1-0.084)</f>
        <v>0</v>
      </c>
      <c r="AQ349" s="21" t="s">
        <v>13</v>
      </c>
      <c r="AV349" s="20">
        <f>AW349+AX349</f>
        <v>0</v>
      </c>
      <c r="AW349" s="20">
        <f>G349*AO349</f>
        <v>0</v>
      </c>
      <c r="AX349" s="20">
        <f>G349*AP349</f>
        <v>0</v>
      </c>
      <c r="AY349" s="23" t="s">
        <v>935</v>
      </c>
      <c r="AZ349" s="23" t="s">
        <v>968</v>
      </c>
      <c r="BA349" s="14" t="s">
        <v>976</v>
      </c>
      <c r="BC349" s="20">
        <f>AW349+AX349</f>
        <v>0</v>
      </c>
      <c r="BD349" s="20">
        <f>H349/(100-BE349)*100</f>
        <v>0</v>
      </c>
      <c r="BE349" s="20">
        <v>0</v>
      </c>
      <c r="BF349" s="20">
        <f>M349</f>
        <v>0.011970000000000001</v>
      </c>
      <c r="BH349" s="11">
        <f>G349*AO349</f>
        <v>0</v>
      </c>
      <c r="BI349" s="11">
        <f>G349*AP349</f>
        <v>0</v>
      </c>
      <c r="BJ349" s="11">
        <f>G349*H349</f>
        <v>0</v>
      </c>
      <c r="BK349" s="11" t="s">
        <v>981</v>
      </c>
      <c r="BL349" s="20">
        <v>711</v>
      </c>
    </row>
    <row r="350" spans="1:15" ht="12.75">
      <c r="A350" s="1"/>
      <c r="D350" s="8" t="s">
        <v>548</v>
      </c>
      <c r="E350" s="9" t="s">
        <v>796</v>
      </c>
      <c r="G350" s="12">
        <v>25.175</v>
      </c>
      <c r="N350" s="16"/>
      <c r="O350" s="1"/>
    </row>
    <row r="351" spans="1:15" ht="12.75">
      <c r="A351" s="1"/>
      <c r="D351" s="8" t="s">
        <v>549</v>
      </c>
      <c r="E351" s="9" t="s">
        <v>798</v>
      </c>
      <c r="G351" s="12">
        <v>25.915</v>
      </c>
      <c r="N351" s="16"/>
      <c r="O351" s="1"/>
    </row>
    <row r="352" spans="1:15" ht="12.75">
      <c r="A352" s="1"/>
      <c r="D352" s="8" t="s">
        <v>550</v>
      </c>
      <c r="E352" s="9" t="s">
        <v>799</v>
      </c>
      <c r="G352" s="12">
        <v>11.905</v>
      </c>
      <c r="N352" s="16"/>
      <c r="O352" s="1"/>
    </row>
    <row r="353" spans="1:64" ht="12.75">
      <c r="A353" s="61" t="s">
        <v>65</v>
      </c>
      <c r="B353" s="7"/>
      <c r="C353" s="7" t="s">
        <v>229</v>
      </c>
      <c r="D353" s="179" t="s">
        <v>553</v>
      </c>
      <c r="E353" s="180"/>
      <c r="F353" s="7" t="s">
        <v>881</v>
      </c>
      <c r="G353" s="13">
        <v>63</v>
      </c>
      <c r="H353" s="13"/>
      <c r="I353" s="13">
        <f>G353*AO353</f>
        <v>0</v>
      </c>
      <c r="J353" s="13">
        <f>G353*AP353</f>
        <v>0</v>
      </c>
      <c r="K353" s="13">
        <f>G353*H353</f>
        <v>0</v>
      </c>
      <c r="L353" s="13">
        <v>0.0006</v>
      </c>
      <c r="M353" s="13">
        <f>G353*L353</f>
        <v>0.03779999999999999</v>
      </c>
      <c r="N353" s="18" t="s">
        <v>913</v>
      </c>
      <c r="O353" s="1"/>
      <c r="Z353" s="20">
        <f>IF(AQ353="5",BJ353,0)</f>
        <v>0</v>
      </c>
      <c r="AB353" s="20">
        <f>IF(AQ353="1",BH353,0)</f>
        <v>0</v>
      </c>
      <c r="AC353" s="20">
        <f>IF(AQ353="1",BI353,0)</f>
        <v>0</v>
      </c>
      <c r="AD353" s="20">
        <f>IF(AQ353="7",BH353,0)</f>
        <v>0</v>
      </c>
      <c r="AE353" s="20">
        <f>IF(AQ353="7",BI353,0)</f>
        <v>0</v>
      </c>
      <c r="AF353" s="20">
        <f>IF(AQ353="2",BH353,0)</f>
        <v>0</v>
      </c>
      <c r="AG353" s="20">
        <f>IF(AQ353="2",BI353,0)</f>
        <v>0</v>
      </c>
      <c r="AH353" s="20">
        <f>IF(AQ353="0",BJ353,0)</f>
        <v>0</v>
      </c>
      <c r="AI353" s="14"/>
      <c r="AJ353" s="13">
        <f>IF(AN353=0,K353,0)</f>
        <v>0</v>
      </c>
      <c r="AK353" s="13">
        <f>IF(AN353=15,K353,0)</f>
        <v>0</v>
      </c>
      <c r="AL353" s="13">
        <f>IF(AN353=21,K353,0)</f>
        <v>0</v>
      </c>
      <c r="AN353" s="20">
        <v>21</v>
      </c>
      <c r="AO353" s="20">
        <f>H353*1</f>
        <v>0</v>
      </c>
      <c r="AP353" s="20">
        <f>H353*(1-1)</f>
        <v>0</v>
      </c>
      <c r="AQ353" s="22" t="s">
        <v>13</v>
      </c>
      <c r="AV353" s="20">
        <f>AW353+AX353</f>
        <v>0</v>
      </c>
      <c r="AW353" s="20">
        <f>G353*AO353</f>
        <v>0</v>
      </c>
      <c r="AX353" s="20">
        <f>G353*AP353</f>
        <v>0</v>
      </c>
      <c r="AY353" s="23" t="s">
        <v>935</v>
      </c>
      <c r="AZ353" s="23" t="s">
        <v>968</v>
      </c>
      <c r="BA353" s="14" t="s">
        <v>976</v>
      </c>
      <c r="BC353" s="20">
        <f>AW353+AX353</f>
        <v>0</v>
      </c>
      <c r="BD353" s="20">
        <f>H353/(100-BE353)*100</f>
        <v>0</v>
      </c>
      <c r="BE353" s="20">
        <v>0</v>
      </c>
      <c r="BF353" s="20">
        <f>M353</f>
        <v>0.03779999999999999</v>
      </c>
      <c r="BH353" s="13">
        <f>G353*AO353</f>
        <v>0</v>
      </c>
      <c r="BI353" s="13">
        <f>G353*AP353</f>
        <v>0</v>
      </c>
      <c r="BJ353" s="13">
        <f>G353*H353</f>
        <v>0</v>
      </c>
      <c r="BK353" s="13" t="s">
        <v>982</v>
      </c>
      <c r="BL353" s="20">
        <v>711</v>
      </c>
    </row>
    <row r="354" spans="1:15" ht="12.75">
      <c r="A354" s="1"/>
      <c r="D354" s="8" t="s">
        <v>548</v>
      </c>
      <c r="E354" s="9" t="s">
        <v>796</v>
      </c>
      <c r="G354" s="12">
        <v>25.175</v>
      </c>
      <c r="N354" s="16"/>
      <c r="O354" s="1"/>
    </row>
    <row r="355" spans="1:15" ht="12.75">
      <c r="A355" s="1"/>
      <c r="D355" s="8" t="s">
        <v>549</v>
      </c>
      <c r="E355" s="9" t="s">
        <v>798</v>
      </c>
      <c r="G355" s="12">
        <v>25.915</v>
      </c>
      <c r="N355" s="16"/>
      <c r="O355" s="1"/>
    </row>
    <row r="356" spans="1:15" ht="12.75">
      <c r="A356" s="1"/>
      <c r="D356" s="8" t="s">
        <v>550</v>
      </c>
      <c r="E356" s="9" t="s">
        <v>799</v>
      </c>
      <c r="G356" s="12">
        <v>11.905</v>
      </c>
      <c r="N356" s="16"/>
      <c r="O356" s="1"/>
    </row>
    <row r="357" spans="1:64" ht="12.75">
      <c r="A357" s="60" t="s">
        <v>66</v>
      </c>
      <c r="B357" s="5"/>
      <c r="C357" s="5" t="s">
        <v>230</v>
      </c>
      <c r="D357" s="176" t="s">
        <v>554</v>
      </c>
      <c r="E357" s="177"/>
      <c r="F357" s="5" t="s">
        <v>881</v>
      </c>
      <c r="G357" s="11">
        <v>244.33</v>
      </c>
      <c r="H357" s="103"/>
      <c r="I357" s="11">
        <f>G357*AO357</f>
        <v>0</v>
      </c>
      <c r="J357" s="11">
        <f>G357*AP357</f>
        <v>0</v>
      </c>
      <c r="K357" s="11">
        <f>G357*H357</f>
        <v>0</v>
      </c>
      <c r="L357" s="11">
        <v>0.00021</v>
      </c>
      <c r="M357" s="11">
        <f>G357*L357</f>
        <v>0.0513093</v>
      </c>
      <c r="N357" s="15" t="s">
        <v>912</v>
      </c>
      <c r="O357" s="1"/>
      <c r="Z357" s="20">
        <f>IF(AQ357="5",BJ357,0)</f>
        <v>0</v>
      </c>
      <c r="AB357" s="20">
        <f>IF(AQ357="1",BH357,0)</f>
        <v>0</v>
      </c>
      <c r="AC357" s="20">
        <f>IF(AQ357="1",BI357,0)</f>
        <v>0</v>
      </c>
      <c r="AD357" s="20">
        <f>IF(AQ357="7",BH357,0)</f>
        <v>0</v>
      </c>
      <c r="AE357" s="20">
        <f>IF(AQ357="7",BI357,0)</f>
        <v>0</v>
      </c>
      <c r="AF357" s="20">
        <f>IF(AQ357="2",BH357,0)</f>
        <v>0</v>
      </c>
      <c r="AG357" s="20">
        <f>IF(AQ357="2",BI357,0)</f>
        <v>0</v>
      </c>
      <c r="AH357" s="20">
        <f>IF(AQ357="0",BJ357,0)</f>
        <v>0</v>
      </c>
      <c r="AI357" s="14"/>
      <c r="AJ357" s="11">
        <f>IF(AN357=0,K357,0)</f>
        <v>0</v>
      </c>
      <c r="AK357" s="11">
        <f>IF(AN357=15,K357,0)</f>
        <v>0</v>
      </c>
      <c r="AL357" s="11">
        <f>IF(AN357=21,K357,0)</f>
        <v>0</v>
      </c>
      <c r="AN357" s="20">
        <v>21</v>
      </c>
      <c r="AO357" s="20">
        <f>H357*0.23514428559457</f>
        <v>0</v>
      </c>
      <c r="AP357" s="20">
        <f>H357*(1-0.23514428559457)</f>
        <v>0</v>
      </c>
      <c r="AQ357" s="21" t="s">
        <v>13</v>
      </c>
      <c r="AV357" s="20">
        <f>AW357+AX357</f>
        <v>0</v>
      </c>
      <c r="AW357" s="20">
        <f>G357*AO357</f>
        <v>0</v>
      </c>
      <c r="AX357" s="20">
        <f>G357*AP357</f>
        <v>0</v>
      </c>
      <c r="AY357" s="23" t="s">
        <v>935</v>
      </c>
      <c r="AZ357" s="23" t="s">
        <v>968</v>
      </c>
      <c r="BA357" s="14" t="s">
        <v>976</v>
      </c>
      <c r="BC357" s="20">
        <f>AW357+AX357</f>
        <v>0</v>
      </c>
      <c r="BD357" s="20">
        <f>H357/(100-BE357)*100</f>
        <v>0</v>
      </c>
      <c r="BE357" s="20">
        <v>0</v>
      </c>
      <c r="BF357" s="20">
        <f>M357</f>
        <v>0.0513093</v>
      </c>
      <c r="BH357" s="11">
        <f>G357*AO357</f>
        <v>0</v>
      </c>
      <c r="BI357" s="11">
        <f>G357*AP357</f>
        <v>0</v>
      </c>
      <c r="BJ357" s="11">
        <f>G357*H357</f>
        <v>0</v>
      </c>
      <c r="BK357" s="11" t="s">
        <v>981</v>
      </c>
      <c r="BL357" s="20">
        <v>711</v>
      </c>
    </row>
    <row r="358" spans="1:15" ht="12.75">
      <c r="A358" s="1"/>
      <c r="D358" s="8" t="s">
        <v>548</v>
      </c>
      <c r="E358" s="9" t="s">
        <v>796</v>
      </c>
      <c r="G358" s="12">
        <v>25.175</v>
      </c>
      <c r="N358" s="16"/>
      <c r="O358" s="1"/>
    </row>
    <row r="359" spans="1:15" ht="12.75">
      <c r="A359" s="1"/>
      <c r="D359" s="8" t="s">
        <v>549</v>
      </c>
      <c r="E359" s="9" t="s">
        <v>798</v>
      </c>
      <c r="G359" s="12">
        <v>25.915</v>
      </c>
      <c r="N359" s="16"/>
      <c r="O359" s="1"/>
    </row>
    <row r="360" spans="1:15" ht="12.75">
      <c r="A360" s="1"/>
      <c r="D360" s="8" t="s">
        <v>550</v>
      </c>
      <c r="E360" s="9" t="s">
        <v>799</v>
      </c>
      <c r="G360" s="12">
        <v>11.905</v>
      </c>
      <c r="N360" s="16"/>
      <c r="O360" s="1"/>
    </row>
    <row r="361" spans="1:15" ht="12.75">
      <c r="A361" s="1"/>
      <c r="D361" s="8" t="s">
        <v>555</v>
      </c>
      <c r="E361" s="9" t="s">
        <v>841</v>
      </c>
      <c r="G361" s="12">
        <v>181.332</v>
      </c>
      <c r="N361" s="16"/>
      <c r="O361" s="1"/>
    </row>
    <row r="362" spans="1:64" ht="12.75">
      <c r="A362" s="60" t="s">
        <v>67</v>
      </c>
      <c r="B362" s="5"/>
      <c r="C362" s="5" t="s">
        <v>231</v>
      </c>
      <c r="D362" s="176" t="s">
        <v>556</v>
      </c>
      <c r="E362" s="177"/>
      <c r="F362" s="5" t="s">
        <v>881</v>
      </c>
      <c r="G362" s="11">
        <v>63</v>
      </c>
      <c r="H362" s="103"/>
      <c r="I362" s="11">
        <f>G362*AO362</f>
        <v>0</v>
      </c>
      <c r="J362" s="11">
        <f>G362*AP362</f>
        <v>0</v>
      </c>
      <c r="K362" s="11">
        <f>G362*H362</f>
        <v>0</v>
      </c>
      <c r="L362" s="11">
        <v>0.00368</v>
      </c>
      <c r="M362" s="11">
        <f>G362*L362</f>
        <v>0.23184000000000002</v>
      </c>
      <c r="N362" s="15" t="s">
        <v>912</v>
      </c>
      <c r="O362" s="1"/>
      <c r="Z362" s="20">
        <f>IF(AQ362="5",BJ362,0)</f>
        <v>0</v>
      </c>
      <c r="AB362" s="20">
        <f>IF(AQ362="1",BH362,0)</f>
        <v>0</v>
      </c>
      <c r="AC362" s="20">
        <f>IF(AQ362="1",BI362,0)</f>
        <v>0</v>
      </c>
      <c r="AD362" s="20">
        <f>IF(AQ362="7",BH362,0)</f>
        <v>0</v>
      </c>
      <c r="AE362" s="20">
        <f>IF(AQ362="7",BI362,0)</f>
        <v>0</v>
      </c>
      <c r="AF362" s="20">
        <f>IF(AQ362="2",BH362,0)</f>
        <v>0</v>
      </c>
      <c r="AG362" s="20">
        <f>IF(AQ362="2",BI362,0)</f>
        <v>0</v>
      </c>
      <c r="AH362" s="20">
        <f>IF(AQ362="0",BJ362,0)</f>
        <v>0</v>
      </c>
      <c r="AI362" s="14"/>
      <c r="AJ362" s="11">
        <f>IF(AN362=0,K362,0)</f>
        <v>0</v>
      </c>
      <c r="AK362" s="11">
        <f>IF(AN362=15,K362,0)</f>
        <v>0</v>
      </c>
      <c r="AL362" s="11">
        <f>IF(AN362=21,K362,0)</f>
        <v>0</v>
      </c>
      <c r="AN362" s="20">
        <v>21</v>
      </c>
      <c r="AO362" s="20">
        <f>H362*0.615040683843307</f>
        <v>0</v>
      </c>
      <c r="AP362" s="20">
        <f>H362*(1-0.615040683843307)</f>
        <v>0</v>
      </c>
      <c r="AQ362" s="21" t="s">
        <v>13</v>
      </c>
      <c r="AV362" s="20">
        <f>AW362+AX362</f>
        <v>0</v>
      </c>
      <c r="AW362" s="20">
        <f>G362*AO362</f>
        <v>0</v>
      </c>
      <c r="AX362" s="20">
        <f>G362*AP362</f>
        <v>0</v>
      </c>
      <c r="AY362" s="23" t="s">
        <v>935</v>
      </c>
      <c r="AZ362" s="23" t="s">
        <v>968</v>
      </c>
      <c r="BA362" s="14" t="s">
        <v>976</v>
      </c>
      <c r="BC362" s="20">
        <f>AW362+AX362</f>
        <v>0</v>
      </c>
      <c r="BD362" s="20">
        <f>H362/(100-BE362)*100</f>
        <v>0</v>
      </c>
      <c r="BE362" s="20">
        <v>0</v>
      </c>
      <c r="BF362" s="20">
        <f>M362</f>
        <v>0.23184000000000002</v>
      </c>
      <c r="BH362" s="11">
        <f>G362*AO362</f>
        <v>0</v>
      </c>
      <c r="BI362" s="11">
        <f>G362*AP362</f>
        <v>0</v>
      </c>
      <c r="BJ362" s="11">
        <f>G362*H362</f>
        <v>0</v>
      </c>
      <c r="BK362" s="11" t="s">
        <v>981</v>
      </c>
      <c r="BL362" s="20">
        <v>711</v>
      </c>
    </row>
    <row r="363" spans="1:15" ht="12.75">
      <c r="A363" s="1"/>
      <c r="D363" s="8" t="s">
        <v>548</v>
      </c>
      <c r="E363" s="9" t="s">
        <v>796</v>
      </c>
      <c r="G363" s="12">
        <v>25.175</v>
      </c>
      <c r="N363" s="16"/>
      <c r="O363" s="1"/>
    </row>
    <row r="364" spans="1:15" ht="12.75">
      <c r="A364" s="1"/>
      <c r="D364" s="8" t="s">
        <v>549</v>
      </c>
      <c r="E364" s="9" t="s">
        <v>798</v>
      </c>
      <c r="G364" s="12">
        <v>25.915</v>
      </c>
      <c r="N364" s="16"/>
      <c r="O364" s="1"/>
    </row>
    <row r="365" spans="1:15" ht="12.75">
      <c r="A365" s="1"/>
      <c r="D365" s="8" t="s">
        <v>550</v>
      </c>
      <c r="E365" s="9" t="s">
        <v>799</v>
      </c>
      <c r="G365" s="12">
        <v>11.905</v>
      </c>
      <c r="N365" s="16"/>
      <c r="O365" s="1"/>
    </row>
    <row r="366" spans="1:64" ht="12.75">
      <c r="A366" s="60" t="s">
        <v>68</v>
      </c>
      <c r="B366" s="5"/>
      <c r="C366" s="5" t="s">
        <v>232</v>
      </c>
      <c r="D366" s="176" t="s">
        <v>557</v>
      </c>
      <c r="E366" s="177"/>
      <c r="F366" s="5" t="s">
        <v>881</v>
      </c>
      <c r="G366" s="11">
        <v>151.19</v>
      </c>
      <c r="H366" s="103"/>
      <c r="I366" s="11">
        <f>G366*AO366</f>
        <v>0</v>
      </c>
      <c r="J366" s="11">
        <f>G366*AP366</f>
        <v>0</v>
      </c>
      <c r="K366" s="11">
        <f>G366*H366</f>
        <v>0</v>
      </c>
      <c r="L366" s="11">
        <v>0.00473</v>
      </c>
      <c r="M366" s="11">
        <f>G366*L366</f>
        <v>0.7151287</v>
      </c>
      <c r="N366" s="15" t="s">
        <v>913</v>
      </c>
      <c r="O366" s="1"/>
      <c r="Z366" s="20">
        <f>IF(AQ366="5",BJ366,0)</f>
        <v>0</v>
      </c>
      <c r="AB366" s="20">
        <f>IF(AQ366="1",BH366,0)</f>
        <v>0</v>
      </c>
      <c r="AC366" s="20">
        <f>IF(AQ366="1",BI366,0)</f>
        <v>0</v>
      </c>
      <c r="AD366" s="20">
        <f>IF(AQ366="7",BH366,0)</f>
        <v>0</v>
      </c>
      <c r="AE366" s="20">
        <f>IF(AQ366="7",BI366,0)</f>
        <v>0</v>
      </c>
      <c r="AF366" s="20">
        <f>IF(AQ366="2",BH366,0)</f>
        <v>0</v>
      </c>
      <c r="AG366" s="20">
        <f>IF(AQ366="2",BI366,0)</f>
        <v>0</v>
      </c>
      <c r="AH366" s="20">
        <f>IF(AQ366="0",BJ366,0)</f>
        <v>0</v>
      </c>
      <c r="AI366" s="14"/>
      <c r="AJ366" s="11">
        <f>IF(AN366=0,K366,0)</f>
        <v>0</v>
      </c>
      <c r="AK366" s="11">
        <f>IF(AN366=15,K366,0)</f>
        <v>0</v>
      </c>
      <c r="AL366" s="11">
        <f>IF(AN366=21,K366,0)</f>
        <v>0</v>
      </c>
      <c r="AN366" s="20">
        <v>21</v>
      </c>
      <c r="AO366" s="20">
        <f>H366*0.645384580211103</f>
        <v>0</v>
      </c>
      <c r="AP366" s="20">
        <f>H366*(1-0.645384580211103)</f>
        <v>0</v>
      </c>
      <c r="AQ366" s="21" t="s">
        <v>13</v>
      </c>
      <c r="AV366" s="20">
        <f>AW366+AX366</f>
        <v>0</v>
      </c>
      <c r="AW366" s="20">
        <f>G366*AO366</f>
        <v>0</v>
      </c>
      <c r="AX366" s="20">
        <f>G366*AP366</f>
        <v>0</v>
      </c>
      <c r="AY366" s="23" t="s">
        <v>935</v>
      </c>
      <c r="AZ366" s="23" t="s">
        <v>968</v>
      </c>
      <c r="BA366" s="14" t="s">
        <v>976</v>
      </c>
      <c r="BC366" s="20">
        <f>AW366+AX366</f>
        <v>0</v>
      </c>
      <c r="BD366" s="20">
        <f>H366/(100-BE366)*100</f>
        <v>0</v>
      </c>
      <c r="BE366" s="20">
        <v>0</v>
      </c>
      <c r="BF366" s="20">
        <f>M366</f>
        <v>0.7151287</v>
      </c>
      <c r="BH366" s="11">
        <f>G366*AO366</f>
        <v>0</v>
      </c>
      <c r="BI366" s="11">
        <f>G366*AP366</f>
        <v>0</v>
      </c>
      <c r="BJ366" s="11">
        <f>G366*H366</f>
        <v>0</v>
      </c>
      <c r="BK366" s="11" t="s">
        <v>981</v>
      </c>
      <c r="BL366" s="20">
        <v>711</v>
      </c>
    </row>
    <row r="367" spans="1:15" ht="12.75">
      <c r="A367" s="1"/>
      <c r="D367" s="8" t="s">
        <v>455</v>
      </c>
      <c r="E367" s="9" t="s">
        <v>796</v>
      </c>
      <c r="G367" s="12">
        <v>60.42</v>
      </c>
      <c r="N367" s="16"/>
      <c r="O367" s="1"/>
    </row>
    <row r="368" spans="1:15" ht="12.75">
      <c r="A368" s="1"/>
      <c r="D368" s="8" t="s">
        <v>456</v>
      </c>
      <c r="E368" s="9" t="s">
        <v>798</v>
      </c>
      <c r="G368" s="12">
        <v>62.196</v>
      </c>
      <c r="N368" s="16"/>
      <c r="O368" s="1"/>
    </row>
    <row r="369" spans="1:15" ht="12.75">
      <c r="A369" s="1"/>
      <c r="D369" s="8" t="s">
        <v>457</v>
      </c>
      <c r="E369" s="9" t="s">
        <v>799</v>
      </c>
      <c r="G369" s="12">
        <v>28.572</v>
      </c>
      <c r="N369" s="16"/>
      <c r="O369" s="1"/>
    </row>
    <row r="370" spans="1:15" ht="12.75">
      <c r="A370" s="1"/>
      <c r="D370" s="8" t="s">
        <v>435</v>
      </c>
      <c r="E370" s="9" t="s">
        <v>804</v>
      </c>
      <c r="G370" s="12">
        <v>8.736</v>
      </c>
      <c r="N370" s="16"/>
      <c r="O370" s="1"/>
    </row>
    <row r="371" spans="1:64" ht="12.75">
      <c r="A371" s="60" t="s">
        <v>69</v>
      </c>
      <c r="B371" s="5"/>
      <c r="C371" s="5" t="s">
        <v>233</v>
      </c>
      <c r="D371" s="176" t="s">
        <v>558</v>
      </c>
      <c r="E371" s="177"/>
      <c r="F371" s="5" t="s">
        <v>887</v>
      </c>
      <c r="G371" s="11">
        <v>2.71822</v>
      </c>
      <c r="H371" s="103"/>
      <c r="I371" s="11">
        <f>G371*AO371</f>
        <v>0</v>
      </c>
      <c r="J371" s="11">
        <f>G371*AP371</f>
        <v>0</v>
      </c>
      <c r="K371" s="11">
        <f>G371*H371</f>
        <v>0</v>
      </c>
      <c r="L371" s="11">
        <v>0</v>
      </c>
      <c r="M371" s="11">
        <f>G371*L371</f>
        <v>0</v>
      </c>
      <c r="N371" s="15" t="s">
        <v>912</v>
      </c>
      <c r="O371" s="1"/>
      <c r="Z371" s="20">
        <f>IF(AQ371="5",BJ371,0)</f>
        <v>0</v>
      </c>
      <c r="AB371" s="20">
        <f>IF(AQ371="1",BH371,0)</f>
        <v>0</v>
      </c>
      <c r="AC371" s="20">
        <f>IF(AQ371="1",BI371,0)</f>
        <v>0</v>
      </c>
      <c r="AD371" s="20">
        <f>IF(AQ371="7",BH371,0)</f>
        <v>0</v>
      </c>
      <c r="AE371" s="20">
        <f>IF(AQ371="7",BI371,0)</f>
        <v>0</v>
      </c>
      <c r="AF371" s="20">
        <f>IF(AQ371="2",BH371,0)</f>
        <v>0</v>
      </c>
      <c r="AG371" s="20">
        <f>IF(AQ371="2",BI371,0)</f>
        <v>0</v>
      </c>
      <c r="AH371" s="20">
        <f>IF(AQ371="0",BJ371,0)</f>
        <v>0</v>
      </c>
      <c r="AI371" s="14"/>
      <c r="AJ371" s="11">
        <f>IF(AN371=0,K371,0)</f>
        <v>0</v>
      </c>
      <c r="AK371" s="11">
        <f>IF(AN371=15,K371,0)</f>
        <v>0</v>
      </c>
      <c r="AL371" s="11">
        <f>IF(AN371=21,K371,0)</f>
        <v>0</v>
      </c>
      <c r="AN371" s="20">
        <v>21</v>
      </c>
      <c r="AO371" s="20">
        <f>H371*0</f>
        <v>0</v>
      </c>
      <c r="AP371" s="20">
        <f>H371*(1-0)</f>
        <v>0</v>
      </c>
      <c r="AQ371" s="21" t="s">
        <v>11</v>
      </c>
      <c r="AV371" s="20">
        <f>AW371+AX371</f>
        <v>0</v>
      </c>
      <c r="AW371" s="20">
        <f>G371*AO371</f>
        <v>0</v>
      </c>
      <c r="AX371" s="20">
        <f>G371*AP371</f>
        <v>0</v>
      </c>
      <c r="AY371" s="23" t="s">
        <v>935</v>
      </c>
      <c r="AZ371" s="23" t="s">
        <v>968</v>
      </c>
      <c r="BA371" s="14" t="s">
        <v>976</v>
      </c>
      <c r="BC371" s="20">
        <f>AW371+AX371</f>
        <v>0</v>
      </c>
      <c r="BD371" s="20">
        <f>H371/(100-BE371)*100</f>
        <v>0</v>
      </c>
      <c r="BE371" s="20">
        <v>0</v>
      </c>
      <c r="BF371" s="20">
        <f>M371</f>
        <v>0</v>
      </c>
      <c r="BH371" s="11">
        <f>G371*AO371</f>
        <v>0</v>
      </c>
      <c r="BI371" s="11">
        <f>G371*AP371</f>
        <v>0</v>
      </c>
      <c r="BJ371" s="11">
        <f>G371*H371</f>
        <v>0</v>
      </c>
      <c r="BK371" s="11" t="s">
        <v>981</v>
      </c>
      <c r="BL371" s="20">
        <v>711</v>
      </c>
    </row>
    <row r="372" spans="1:47" ht="12.75">
      <c r="A372" s="2"/>
      <c r="B372" s="6"/>
      <c r="C372" s="6" t="s">
        <v>234</v>
      </c>
      <c r="D372" s="174" t="s">
        <v>559</v>
      </c>
      <c r="E372" s="175"/>
      <c r="F372" s="10" t="s">
        <v>6</v>
      </c>
      <c r="G372" s="10" t="s">
        <v>6</v>
      </c>
      <c r="H372" s="10"/>
      <c r="I372" s="25">
        <f>SUM(I373:I373)</f>
        <v>0</v>
      </c>
      <c r="J372" s="25">
        <f>SUM(J373:J373)</f>
        <v>0</v>
      </c>
      <c r="K372" s="25">
        <f>SUM(K373:K373)</f>
        <v>0</v>
      </c>
      <c r="L372" s="14"/>
      <c r="M372" s="25">
        <f>SUM(M373:M373)</f>
        <v>0</v>
      </c>
      <c r="N372" s="17"/>
      <c r="O372" s="1"/>
      <c r="AI372" s="14"/>
      <c r="AS372" s="25">
        <f>SUM(AJ373:AJ373)</f>
        <v>0</v>
      </c>
      <c r="AT372" s="25">
        <f>SUM(AK373:AK373)</f>
        <v>0</v>
      </c>
      <c r="AU372" s="25">
        <f>SUM(AL373:AL373)</f>
        <v>0</v>
      </c>
    </row>
    <row r="373" spans="1:64" ht="12.75">
      <c r="A373" s="60" t="s">
        <v>70</v>
      </c>
      <c r="B373" s="5"/>
      <c r="C373" s="5" t="s">
        <v>235</v>
      </c>
      <c r="D373" s="176" t="s">
        <v>560</v>
      </c>
      <c r="E373" s="177"/>
      <c r="F373" s="5" t="s">
        <v>881</v>
      </c>
      <c r="G373" s="11">
        <v>66.95</v>
      </c>
      <c r="H373" s="103"/>
      <c r="I373" s="11">
        <f>G373*AO373</f>
        <v>0</v>
      </c>
      <c r="J373" s="11">
        <f>G373*AP373</f>
        <v>0</v>
      </c>
      <c r="K373" s="11">
        <f>G373*H373</f>
        <v>0</v>
      </c>
      <c r="L373" s="11">
        <v>0</v>
      </c>
      <c r="M373" s="11">
        <f>G373*L373</f>
        <v>0</v>
      </c>
      <c r="N373" s="15" t="s">
        <v>912</v>
      </c>
      <c r="O373" s="1"/>
      <c r="Z373" s="20">
        <f>IF(AQ373="5",BJ373,0)</f>
        <v>0</v>
      </c>
      <c r="AB373" s="20">
        <f>IF(AQ373="1",BH373,0)</f>
        <v>0</v>
      </c>
      <c r="AC373" s="20">
        <f>IF(AQ373="1",BI373,0)</f>
        <v>0</v>
      </c>
      <c r="AD373" s="20">
        <f>IF(AQ373="7",BH373,0)</f>
        <v>0</v>
      </c>
      <c r="AE373" s="20">
        <f>IF(AQ373="7",BI373,0)</f>
        <v>0</v>
      </c>
      <c r="AF373" s="20">
        <f>IF(AQ373="2",BH373,0)</f>
        <v>0</v>
      </c>
      <c r="AG373" s="20">
        <f>IF(AQ373="2",BI373,0)</f>
        <v>0</v>
      </c>
      <c r="AH373" s="20">
        <f>IF(AQ373="0",BJ373,0)</f>
        <v>0</v>
      </c>
      <c r="AI373" s="14"/>
      <c r="AJ373" s="11">
        <f>IF(AN373=0,K373,0)</f>
        <v>0</v>
      </c>
      <c r="AK373" s="11">
        <f>IF(AN373=15,K373,0)</f>
        <v>0</v>
      </c>
      <c r="AL373" s="11">
        <f>IF(AN373=21,K373,0)</f>
        <v>0</v>
      </c>
      <c r="AN373" s="20">
        <v>21</v>
      </c>
      <c r="AO373" s="20">
        <f>H373*0</f>
        <v>0</v>
      </c>
      <c r="AP373" s="20">
        <f>H373*(1-0)</f>
        <v>0</v>
      </c>
      <c r="AQ373" s="21" t="s">
        <v>13</v>
      </c>
      <c r="AV373" s="20">
        <f>AW373+AX373</f>
        <v>0</v>
      </c>
      <c r="AW373" s="20">
        <f>G373*AO373</f>
        <v>0</v>
      </c>
      <c r="AX373" s="20">
        <f>G373*AP373</f>
        <v>0</v>
      </c>
      <c r="AY373" s="23" t="s">
        <v>936</v>
      </c>
      <c r="AZ373" s="23" t="s">
        <v>968</v>
      </c>
      <c r="BA373" s="14" t="s">
        <v>976</v>
      </c>
      <c r="BC373" s="20">
        <f>AW373+AX373</f>
        <v>0</v>
      </c>
      <c r="BD373" s="20">
        <f>H373/(100-BE373)*100</f>
        <v>0</v>
      </c>
      <c r="BE373" s="20">
        <v>0</v>
      </c>
      <c r="BF373" s="20">
        <f>M373</f>
        <v>0</v>
      </c>
      <c r="BH373" s="11">
        <f>G373*AO373</f>
        <v>0</v>
      </c>
      <c r="BI373" s="11">
        <f>G373*AP373</f>
        <v>0</v>
      </c>
      <c r="BJ373" s="11">
        <f>G373*H373</f>
        <v>0</v>
      </c>
      <c r="BK373" s="11" t="s">
        <v>981</v>
      </c>
      <c r="BL373" s="20">
        <v>713</v>
      </c>
    </row>
    <row r="374" spans="1:15" ht="12.75">
      <c r="A374" s="1"/>
      <c r="D374" s="8" t="s">
        <v>531</v>
      </c>
      <c r="E374" s="9" t="s">
        <v>821</v>
      </c>
      <c r="G374" s="12">
        <v>66.95</v>
      </c>
      <c r="N374" s="16"/>
      <c r="O374" s="1"/>
    </row>
    <row r="375" spans="1:47" ht="12.75">
      <c r="A375" s="2"/>
      <c r="B375" s="6"/>
      <c r="C375" s="6" t="s">
        <v>236</v>
      </c>
      <c r="D375" s="174" t="s">
        <v>561</v>
      </c>
      <c r="E375" s="175"/>
      <c r="F375" s="10" t="s">
        <v>6</v>
      </c>
      <c r="G375" s="10" t="s">
        <v>6</v>
      </c>
      <c r="H375" s="10"/>
      <c r="I375" s="25">
        <f>SUM(I376:I379)</f>
        <v>0</v>
      </c>
      <c r="J375" s="25">
        <f>SUM(J376:J379)</f>
        <v>0</v>
      </c>
      <c r="K375" s="25">
        <f>SUM(K376:K379)</f>
        <v>0</v>
      </c>
      <c r="L375" s="14"/>
      <c r="M375" s="25">
        <f>SUM(M376:M379)</f>
        <v>0.4226</v>
      </c>
      <c r="N375" s="17"/>
      <c r="O375" s="1"/>
      <c r="AI375" s="14"/>
      <c r="AS375" s="25">
        <f>SUM(AJ376:AJ379)</f>
        <v>0</v>
      </c>
      <c r="AT375" s="25">
        <f>SUM(AK376:AK379)</f>
        <v>0</v>
      </c>
      <c r="AU375" s="25">
        <f>SUM(AL376:AL379)</f>
        <v>0</v>
      </c>
    </row>
    <row r="376" spans="1:64" ht="12.75">
      <c r="A376" s="60" t="s">
        <v>71</v>
      </c>
      <c r="B376" s="5"/>
      <c r="C376" s="5" t="s">
        <v>237</v>
      </c>
      <c r="D376" s="159" t="s">
        <v>1044</v>
      </c>
      <c r="E376" s="150"/>
      <c r="F376" s="64" t="s">
        <v>886</v>
      </c>
      <c r="G376" s="84">
        <v>20</v>
      </c>
      <c r="H376" s="103"/>
      <c r="I376" s="11">
        <f>G376*AO376</f>
        <v>0</v>
      </c>
      <c r="J376" s="11">
        <f>G376*AP376</f>
        <v>0</v>
      </c>
      <c r="K376" s="11">
        <f>G376*H376</f>
        <v>0</v>
      </c>
      <c r="L376" s="11">
        <v>0.02113</v>
      </c>
      <c r="M376" s="11">
        <f>G376*L376</f>
        <v>0.4226</v>
      </c>
      <c r="N376" s="15" t="s">
        <v>912</v>
      </c>
      <c r="O376" s="1"/>
      <c r="Z376" s="20">
        <f>IF(AQ376="5",BJ376,0)</f>
        <v>0</v>
      </c>
      <c r="AB376" s="20">
        <f>IF(AQ376="1",BH376,0)</f>
        <v>0</v>
      </c>
      <c r="AC376" s="20">
        <f>IF(AQ376="1",BI376,0)</f>
        <v>0</v>
      </c>
      <c r="AD376" s="20">
        <f>IF(AQ376="7",BH376,0)</f>
        <v>0</v>
      </c>
      <c r="AE376" s="20">
        <f>IF(AQ376="7",BI376,0)</f>
        <v>0</v>
      </c>
      <c r="AF376" s="20">
        <f>IF(AQ376="2",BH376,0)</f>
        <v>0</v>
      </c>
      <c r="AG376" s="20">
        <f>IF(AQ376="2",BI376,0)</f>
        <v>0</v>
      </c>
      <c r="AH376" s="20">
        <f>IF(AQ376="0",BJ376,0)</f>
        <v>0</v>
      </c>
      <c r="AI376" s="14"/>
      <c r="AJ376" s="11">
        <f>IF(AN376=0,K376,0)</f>
        <v>0</v>
      </c>
      <c r="AK376" s="11">
        <f>IF(AN376=15,K376,0)</f>
        <v>0</v>
      </c>
      <c r="AL376" s="11">
        <f>IF(AN376=21,K376,0)</f>
        <v>0</v>
      </c>
      <c r="AN376" s="20">
        <v>21</v>
      </c>
      <c r="AO376" s="20">
        <f>H376*0</f>
        <v>0</v>
      </c>
      <c r="AP376" s="20">
        <f>H376*(1-0)</f>
        <v>0</v>
      </c>
      <c r="AQ376" s="21" t="s">
        <v>13</v>
      </c>
      <c r="AV376" s="20">
        <f>AW376+AX376</f>
        <v>0</v>
      </c>
      <c r="AW376" s="20">
        <f>G376*AO376</f>
        <v>0</v>
      </c>
      <c r="AX376" s="20">
        <f>G376*AP376</f>
        <v>0</v>
      </c>
      <c r="AY376" s="23" t="s">
        <v>937</v>
      </c>
      <c r="AZ376" s="23" t="s">
        <v>969</v>
      </c>
      <c r="BA376" s="14" t="s">
        <v>976</v>
      </c>
      <c r="BC376" s="20">
        <f>AW376+AX376</f>
        <v>0</v>
      </c>
      <c r="BD376" s="20">
        <f>H376/(100-BE376)*100</f>
        <v>0</v>
      </c>
      <c r="BE376" s="20">
        <v>0</v>
      </c>
      <c r="BF376" s="20">
        <f>M376</f>
        <v>0.4226</v>
      </c>
      <c r="BH376" s="11">
        <f>G376*AO376</f>
        <v>0</v>
      </c>
      <c r="BI376" s="11">
        <f>G376*AP376</f>
        <v>0</v>
      </c>
      <c r="BJ376" s="11">
        <f>G376*H376</f>
        <v>0</v>
      </c>
      <c r="BK376" s="11" t="s">
        <v>981</v>
      </c>
      <c r="BL376" s="20">
        <v>721</v>
      </c>
    </row>
    <row r="377" spans="1:15" ht="12.75">
      <c r="A377" s="1"/>
      <c r="C377" s="59"/>
      <c r="D377" s="63" t="s">
        <v>562</v>
      </c>
      <c r="E377" s="63" t="s">
        <v>791</v>
      </c>
      <c r="F377" s="87"/>
      <c r="G377" s="88">
        <v>10</v>
      </c>
      <c r="N377" s="16"/>
      <c r="O377" s="1"/>
    </row>
    <row r="378" spans="1:15" ht="12.75">
      <c r="A378" s="1"/>
      <c r="D378" s="63" t="s">
        <v>562</v>
      </c>
      <c r="E378" s="63" t="s">
        <v>792</v>
      </c>
      <c r="F378" s="87"/>
      <c r="G378" s="88">
        <v>10</v>
      </c>
      <c r="N378" s="16"/>
      <c r="O378" s="1"/>
    </row>
    <row r="379" spans="1:64" s="87" customFormat="1" ht="12.75">
      <c r="A379" s="83" t="s">
        <v>72</v>
      </c>
      <c r="B379" s="64"/>
      <c r="C379" s="64" t="s">
        <v>238</v>
      </c>
      <c r="D379" s="159" t="s">
        <v>563</v>
      </c>
      <c r="E379" s="150"/>
      <c r="F379" s="64" t="s">
        <v>887</v>
      </c>
      <c r="G379" s="84">
        <v>1.1</v>
      </c>
      <c r="H379" s="101"/>
      <c r="I379" s="84">
        <f>G379*AO379</f>
        <v>0</v>
      </c>
      <c r="J379" s="84">
        <f>G379*AP379</f>
        <v>0</v>
      </c>
      <c r="K379" s="84">
        <f>G379*H379</f>
        <v>0</v>
      </c>
      <c r="L379" s="84">
        <v>0</v>
      </c>
      <c r="M379" s="84">
        <f>G379*L379</f>
        <v>0</v>
      </c>
      <c r="N379" s="85" t="s">
        <v>912</v>
      </c>
      <c r="O379" s="86"/>
      <c r="Z379" s="84">
        <f>IF(AQ379="5",BJ379,0)</f>
        <v>0</v>
      </c>
      <c r="AB379" s="84">
        <f>IF(AQ379="1",BH379,0)</f>
        <v>0</v>
      </c>
      <c r="AC379" s="84">
        <f>IF(AQ379="1",BI379,0)</f>
        <v>0</v>
      </c>
      <c r="AD379" s="84">
        <f>IF(AQ379="7",BH379,0)</f>
        <v>0</v>
      </c>
      <c r="AE379" s="84">
        <f>IF(AQ379="7",BI379,0)</f>
        <v>0</v>
      </c>
      <c r="AF379" s="84">
        <f>IF(AQ379="2",BH379,0)</f>
        <v>0</v>
      </c>
      <c r="AG379" s="84">
        <f>IF(AQ379="2",BI379,0)</f>
        <v>0</v>
      </c>
      <c r="AH379" s="84">
        <f>IF(AQ379="0",BJ379,0)</f>
        <v>0</v>
      </c>
      <c r="AI379" s="94"/>
      <c r="AJ379" s="84">
        <f>IF(AN379=0,K379,0)</f>
        <v>0</v>
      </c>
      <c r="AK379" s="84">
        <f>IF(AN379=15,K379,0)</f>
        <v>0</v>
      </c>
      <c r="AL379" s="84">
        <f>IF(AN379=21,K379,0)</f>
        <v>0</v>
      </c>
      <c r="AN379" s="84">
        <v>21</v>
      </c>
      <c r="AO379" s="84">
        <f>H379*0</f>
        <v>0</v>
      </c>
      <c r="AP379" s="84">
        <f>H379*(1-0)</f>
        <v>0</v>
      </c>
      <c r="AQ379" s="99" t="s">
        <v>11</v>
      </c>
      <c r="AV379" s="84">
        <f>AW379+AX379</f>
        <v>0</v>
      </c>
      <c r="AW379" s="84">
        <f>G379*AO379</f>
        <v>0</v>
      </c>
      <c r="AX379" s="84">
        <f>G379*AP379</f>
        <v>0</v>
      </c>
      <c r="AY379" s="99" t="s">
        <v>937</v>
      </c>
      <c r="AZ379" s="99" t="s">
        <v>969</v>
      </c>
      <c r="BA379" s="94" t="s">
        <v>976</v>
      </c>
      <c r="BC379" s="84">
        <f>AW379+AX379</f>
        <v>0</v>
      </c>
      <c r="BD379" s="84">
        <f>H379/(100-BE379)*100</f>
        <v>0</v>
      </c>
      <c r="BE379" s="84">
        <v>0</v>
      </c>
      <c r="BF379" s="84">
        <f>M379</f>
        <v>0</v>
      </c>
      <c r="BH379" s="84">
        <f>G379*AO379</f>
        <v>0</v>
      </c>
      <c r="BI379" s="84">
        <f>G379*AP379</f>
        <v>0</v>
      </c>
      <c r="BJ379" s="84">
        <f>G379*H379</f>
        <v>0</v>
      </c>
      <c r="BK379" s="84" t="s">
        <v>981</v>
      </c>
      <c r="BL379" s="84">
        <v>721</v>
      </c>
    </row>
    <row r="380" spans="1:47" ht="12.75">
      <c r="A380" s="2"/>
      <c r="B380" s="6"/>
      <c r="C380" s="6" t="s">
        <v>239</v>
      </c>
      <c r="D380" s="174" t="s">
        <v>564</v>
      </c>
      <c r="E380" s="175"/>
      <c r="F380" s="10" t="s">
        <v>6</v>
      </c>
      <c r="G380" s="10" t="s">
        <v>6</v>
      </c>
      <c r="H380" s="10"/>
      <c r="I380" s="25">
        <f>SUM(I381:I387)</f>
        <v>0</v>
      </c>
      <c r="J380" s="25">
        <f>SUM(J381:J387)</f>
        <v>0</v>
      </c>
      <c r="K380" s="25">
        <f>SUM(K381:K387)</f>
        <v>0</v>
      </c>
      <c r="L380" s="14"/>
      <c r="M380" s="25">
        <f>SUM(M381:M387)</f>
        <v>0.0143</v>
      </c>
      <c r="N380" s="17"/>
      <c r="O380" s="1"/>
      <c r="AI380" s="14"/>
      <c r="AS380" s="25">
        <f>SUM(AJ381:AJ387)</f>
        <v>0</v>
      </c>
      <c r="AT380" s="25">
        <f>SUM(AK381:AK387)</f>
        <v>0</v>
      </c>
      <c r="AU380" s="25">
        <f>SUM(AL381:AL387)</f>
        <v>0</v>
      </c>
    </row>
    <row r="381" spans="1:64" ht="12.75">
      <c r="A381" s="60" t="s">
        <v>73</v>
      </c>
      <c r="B381" s="5"/>
      <c r="C381" s="5" t="s">
        <v>240</v>
      </c>
      <c r="D381" s="176" t="s">
        <v>565</v>
      </c>
      <c r="E381" s="177"/>
      <c r="F381" s="5" t="s">
        <v>886</v>
      </c>
      <c r="G381" s="11">
        <v>1</v>
      </c>
      <c r="H381" s="103"/>
      <c r="I381" s="11">
        <f>G381*AO381</f>
        <v>0</v>
      </c>
      <c r="J381" s="11">
        <f>G381*AP381</f>
        <v>0</v>
      </c>
      <c r="K381" s="11">
        <f>G381*H381</f>
        <v>0</v>
      </c>
      <c r="L381" s="11">
        <v>0.0083</v>
      </c>
      <c r="M381" s="11">
        <f>G381*L381</f>
        <v>0.0083</v>
      </c>
      <c r="N381" s="15" t="s">
        <v>912</v>
      </c>
      <c r="O381" s="1"/>
      <c r="Z381" s="20">
        <f>IF(AQ381="5",BJ381,0)</f>
        <v>0</v>
      </c>
      <c r="AB381" s="20">
        <f>IF(AQ381="1",BH381,0)</f>
        <v>0</v>
      </c>
      <c r="AC381" s="20">
        <f>IF(AQ381="1",BI381,0)</f>
        <v>0</v>
      </c>
      <c r="AD381" s="20">
        <f>IF(AQ381="7",BH381,0)</f>
        <v>0</v>
      </c>
      <c r="AE381" s="20">
        <f>IF(AQ381="7",BI381,0)</f>
        <v>0</v>
      </c>
      <c r="AF381" s="20">
        <f>IF(AQ381="2",BH381,0)</f>
        <v>0</v>
      </c>
      <c r="AG381" s="20">
        <f>IF(AQ381="2",BI381,0)</f>
        <v>0</v>
      </c>
      <c r="AH381" s="20">
        <f>IF(AQ381="0",BJ381,0)</f>
        <v>0</v>
      </c>
      <c r="AI381" s="14"/>
      <c r="AJ381" s="11">
        <f>IF(AN381=0,K381,0)</f>
        <v>0</v>
      </c>
      <c r="AK381" s="11">
        <f>IF(AN381=15,K381,0)</f>
        <v>0</v>
      </c>
      <c r="AL381" s="11">
        <f>IF(AN381=21,K381,0)</f>
        <v>0</v>
      </c>
      <c r="AN381" s="20">
        <v>21</v>
      </c>
      <c r="AO381" s="20">
        <f>H381*0</f>
        <v>0</v>
      </c>
      <c r="AP381" s="20">
        <f>H381*(1-0)</f>
        <v>0</v>
      </c>
      <c r="AQ381" s="21" t="s">
        <v>13</v>
      </c>
      <c r="AV381" s="20">
        <f>AW381+AX381</f>
        <v>0</v>
      </c>
      <c r="AW381" s="20">
        <f>G381*AO381</f>
        <v>0</v>
      </c>
      <c r="AX381" s="20">
        <f>G381*AP381</f>
        <v>0</v>
      </c>
      <c r="AY381" s="23" t="s">
        <v>938</v>
      </c>
      <c r="AZ381" s="23" t="s">
        <v>969</v>
      </c>
      <c r="BA381" s="14" t="s">
        <v>976</v>
      </c>
      <c r="BC381" s="20">
        <f>AW381+AX381</f>
        <v>0</v>
      </c>
      <c r="BD381" s="20">
        <f>H381/(100-BE381)*100</f>
        <v>0</v>
      </c>
      <c r="BE381" s="20">
        <v>0</v>
      </c>
      <c r="BF381" s="20">
        <f>M381</f>
        <v>0.0083</v>
      </c>
      <c r="BH381" s="11">
        <f>G381*AO381</f>
        <v>0</v>
      </c>
      <c r="BI381" s="11">
        <f>G381*AP381</f>
        <v>0</v>
      </c>
      <c r="BJ381" s="11">
        <f>G381*H381</f>
        <v>0</v>
      </c>
      <c r="BK381" s="11" t="s">
        <v>981</v>
      </c>
      <c r="BL381" s="20">
        <v>728</v>
      </c>
    </row>
    <row r="382" spans="1:15" ht="12.75">
      <c r="A382" s="1"/>
      <c r="D382" s="8" t="s">
        <v>7</v>
      </c>
      <c r="E382" s="9"/>
      <c r="G382" s="12">
        <v>1</v>
      </c>
      <c r="N382" s="16"/>
      <c r="O382" s="1"/>
    </row>
    <row r="383" spans="1:64" ht="12.75">
      <c r="A383" s="60" t="s">
        <v>74</v>
      </c>
      <c r="B383" s="5"/>
      <c r="C383" s="5" t="s">
        <v>241</v>
      </c>
      <c r="D383" s="176" t="s">
        <v>566</v>
      </c>
      <c r="E383" s="177"/>
      <c r="F383" s="5" t="s">
        <v>886</v>
      </c>
      <c r="G383" s="11">
        <v>1</v>
      </c>
      <c r="H383" s="103"/>
      <c r="I383" s="11">
        <f>G383*AO383</f>
        <v>0</v>
      </c>
      <c r="J383" s="11">
        <f>G383*AP383</f>
        <v>0</v>
      </c>
      <c r="K383" s="11">
        <f>G383*H383</f>
        <v>0</v>
      </c>
      <c r="L383" s="11">
        <v>0</v>
      </c>
      <c r="M383" s="11">
        <f>G383*L383</f>
        <v>0</v>
      </c>
      <c r="N383" s="15" t="s">
        <v>912</v>
      </c>
      <c r="O383" s="1"/>
      <c r="Z383" s="20">
        <f>IF(AQ383="5",BJ383,0)</f>
        <v>0</v>
      </c>
      <c r="AB383" s="20">
        <f>IF(AQ383="1",BH383,0)</f>
        <v>0</v>
      </c>
      <c r="AC383" s="20">
        <f>IF(AQ383="1",BI383,0)</f>
        <v>0</v>
      </c>
      <c r="AD383" s="20">
        <f>IF(AQ383="7",BH383,0)</f>
        <v>0</v>
      </c>
      <c r="AE383" s="20">
        <f>IF(AQ383="7",BI383,0)</f>
        <v>0</v>
      </c>
      <c r="AF383" s="20">
        <f>IF(AQ383="2",BH383,0)</f>
        <v>0</v>
      </c>
      <c r="AG383" s="20">
        <f>IF(AQ383="2",BI383,0)</f>
        <v>0</v>
      </c>
      <c r="AH383" s="20">
        <f>IF(AQ383="0",BJ383,0)</f>
        <v>0</v>
      </c>
      <c r="AI383" s="14"/>
      <c r="AJ383" s="11">
        <f>IF(AN383=0,K383,0)</f>
        <v>0</v>
      </c>
      <c r="AK383" s="11">
        <f>IF(AN383=15,K383,0)</f>
        <v>0</v>
      </c>
      <c r="AL383" s="11">
        <f>IF(AN383=21,K383,0)</f>
        <v>0</v>
      </c>
      <c r="AN383" s="20">
        <v>21</v>
      </c>
      <c r="AO383" s="20">
        <f>H383*0</f>
        <v>0</v>
      </c>
      <c r="AP383" s="20">
        <f>H383*(1-0)</f>
        <v>0</v>
      </c>
      <c r="AQ383" s="21" t="s">
        <v>13</v>
      </c>
      <c r="AV383" s="20">
        <f>AW383+AX383</f>
        <v>0</v>
      </c>
      <c r="AW383" s="20">
        <f>G383*AO383</f>
        <v>0</v>
      </c>
      <c r="AX383" s="20">
        <f>G383*AP383</f>
        <v>0</v>
      </c>
      <c r="AY383" s="23" t="s">
        <v>938</v>
      </c>
      <c r="AZ383" s="23" t="s">
        <v>969</v>
      </c>
      <c r="BA383" s="14" t="s">
        <v>976</v>
      </c>
      <c r="BC383" s="20">
        <f>AW383+AX383</f>
        <v>0</v>
      </c>
      <c r="BD383" s="20">
        <f>H383/(100-BE383)*100</f>
        <v>0</v>
      </c>
      <c r="BE383" s="20">
        <v>0</v>
      </c>
      <c r="BF383" s="20">
        <f>M383</f>
        <v>0</v>
      </c>
      <c r="BH383" s="11">
        <f>G383*AO383</f>
        <v>0</v>
      </c>
      <c r="BI383" s="11">
        <f>G383*AP383</f>
        <v>0</v>
      </c>
      <c r="BJ383" s="11">
        <f>G383*H383</f>
        <v>0</v>
      </c>
      <c r="BK383" s="11" t="s">
        <v>981</v>
      </c>
      <c r="BL383" s="20">
        <v>728</v>
      </c>
    </row>
    <row r="384" spans="1:15" ht="12.75">
      <c r="A384" s="1"/>
      <c r="D384" s="8" t="s">
        <v>7</v>
      </c>
      <c r="E384" s="9"/>
      <c r="G384" s="12">
        <v>1</v>
      </c>
      <c r="N384" s="16"/>
      <c r="O384" s="1"/>
    </row>
    <row r="385" spans="1:64" ht="12.75">
      <c r="A385" s="60" t="s">
        <v>75</v>
      </c>
      <c r="B385" s="5"/>
      <c r="C385" s="5" t="s">
        <v>242</v>
      </c>
      <c r="D385" s="176" t="s">
        <v>567</v>
      </c>
      <c r="E385" s="177"/>
      <c r="F385" s="5" t="s">
        <v>886</v>
      </c>
      <c r="G385" s="11">
        <v>1</v>
      </c>
      <c r="H385" s="103"/>
      <c r="I385" s="11">
        <f>G385*AO385</f>
        <v>0</v>
      </c>
      <c r="J385" s="11">
        <f>G385*AP385</f>
        <v>0</v>
      </c>
      <c r="K385" s="11">
        <f>G385*H385</f>
        <v>0</v>
      </c>
      <c r="L385" s="11">
        <v>0.006</v>
      </c>
      <c r="M385" s="11">
        <f>G385*L385</f>
        <v>0.006</v>
      </c>
      <c r="N385" s="15" t="s">
        <v>913</v>
      </c>
      <c r="O385" s="1"/>
      <c r="Z385" s="20">
        <f>IF(AQ385="5",BJ385,0)</f>
        <v>0</v>
      </c>
      <c r="AB385" s="20">
        <f>IF(AQ385="1",BH385,0)</f>
        <v>0</v>
      </c>
      <c r="AC385" s="20">
        <f>IF(AQ385="1",BI385,0)</f>
        <v>0</v>
      </c>
      <c r="AD385" s="20">
        <f>IF(AQ385="7",BH385,0)</f>
        <v>0</v>
      </c>
      <c r="AE385" s="20">
        <f>IF(AQ385="7",BI385,0)</f>
        <v>0</v>
      </c>
      <c r="AF385" s="20">
        <f>IF(AQ385="2",BH385,0)</f>
        <v>0</v>
      </c>
      <c r="AG385" s="20">
        <f>IF(AQ385="2",BI385,0)</f>
        <v>0</v>
      </c>
      <c r="AH385" s="20">
        <f>IF(AQ385="0",BJ385,0)</f>
        <v>0</v>
      </c>
      <c r="AI385" s="14"/>
      <c r="AJ385" s="11">
        <f>IF(AN385=0,K385,0)</f>
        <v>0</v>
      </c>
      <c r="AK385" s="11">
        <f>IF(AN385=15,K385,0)</f>
        <v>0</v>
      </c>
      <c r="AL385" s="11">
        <f>IF(AN385=21,K385,0)</f>
        <v>0</v>
      </c>
      <c r="AN385" s="20">
        <v>21</v>
      </c>
      <c r="AO385" s="20">
        <f>H385*0.679655641141822</f>
        <v>0</v>
      </c>
      <c r="AP385" s="20">
        <f>H385*(1-0.679655641141822)</f>
        <v>0</v>
      </c>
      <c r="AQ385" s="21" t="s">
        <v>13</v>
      </c>
      <c r="AV385" s="20">
        <f>AW385+AX385</f>
        <v>0</v>
      </c>
      <c r="AW385" s="20">
        <f>G385*AO385</f>
        <v>0</v>
      </c>
      <c r="AX385" s="20">
        <f>G385*AP385</f>
        <v>0</v>
      </c>
      <c r="AY385" s="23" t="s">
        <v>938</v>
      </c>
      <c r="AZ385" s="23" t="s">
        <v>969</v>
      </c>
      <c r="BA385" s="14" t="s">
        <v>976</v>
      </c>
      <c r="BC385" s="20">
        <f>AW385+AX385</f>
        <v>0</v>
      </c>
      <c r="BD385" s="20">
        <f>H385/(100-BE385)*100</f>
        <v>0</v>
      </c>
      <c r="BE385" s="20">
        <v>0</v>
      </c>
      <c r="BF385" s="20">
        <f>M385</f>
        <v>0.006</v>
      </c>
      <c r="BH385" s="11">
        <f>G385*AO385</f>
        <v>0</v>
      </c>
      <c r="BI385" s="11">
        <f>G385*AP385</f>
        <v>0</v>
      </c>
      <c r="BJ385" s="11">
        <f>G385*H385</f>
        <v>0</v>
      </c>
      <c r="BK385" s="11" t="s">
        <v>981</v>
      </c>
      <c r="BL385" s="20">
        <v>728</v>
      </c>
    </row>
    <row r="386" spans="1:15" ht="12.75">
      <c r="A386" s="1"/>
      <c r="D386" s="8" t="s">
        <v>7</v>
      </c>
      <c r="E386" s="9"/>
      <c r="G386" s="12">
        <v>1</v>
      </c>
      <c r="N386" s="16"/>
      <c r="O386" s="1"/>
    </row>
    <row r="387" spans="1:64" ht="12.75">
      <c r="A387" s="60" t="s">
        <v>76</v>
      </c>
      <c r="B387" s="5"/>
      <c r="C387" s="5" t="s">
        <v>243</v>
      </c>
      <c r="D387" s="176" t="s">
        <v>568</v>
      </c>
      <c r="E387" s="177"/>
      <c r="F387" s="5" t="s">
        <v>887</v>
      </c>
      <c r="G387" s="11">
        <v>0.006</v>
      </c>
      <c r="H387" s="103"/>
      <c r="I387" s="11">
        <f>G387*AO387</f>
        <v>0</v>
      </c>
      <c r="J387" s="11">
        <f>G387*AP387</f>
        <v>0</v>
      </c>
      <c r="K387" s="11">
        <f>G387*H387</f>
        <v>0</v>
      </c>
      <c r="L387" s="11">
        <v>0</v>
      </c>
      <c r="M387" s="11">
        <f>G387*L387</f>
        <v>0</v>
      </c>
      <c r="N387" s="15" t="s">
        <v>912</v>
      </c>
      <c r="O387" s="1"/>
      <c r="Z387" s="20">
        <f>IF(AQ387="5",BJ387,0)</f>
        <v>0</v>
      </c>
      <c r="AB387" s="20">
        <f>IF(AQ387="1",BH387,0)</f>
        <v>0</v>
      </c>
      <c r="AC387" s="20">
        <f>IF(AQ387="1",BI387,0)</f>
        <v>0</v>
      </c>
      <c r="AD387" s="20">
        <f>IF(AQ387="7",BH387,0)</f>
        <v>0</v>
      </c>
      <c r="AE387" s="20">
        <f>IF(AQ387="7",BI387,0)</f>
        <v>0</v>
      </c>
      <c r="AF387" s="20">
        <f>IF(AQ387="2",BH387,0)</f>
        <v>0</v>
      </c>
      <c r="AG387" s="20">
        <f>IF(AQ387="2",BI387,0)</f>
        <v>0</v>
      </c>
      <c r="AH387" s="20">
        <f>IF(AQ387="0",BJ387,0)</f>
        <v>0</v>
      </c>
      <c r="AI387" s="14"/>
      <c r="AJ387" s="11">
        <f>IF(AN387=0,K387,0)</f>
        <v>0</v>
      </c>
      <c r="AK387" s="11">
        <f>IF(AN387=15,K387,0)</f>
        <v>0</v>
      </c>
      <c r="AL387" s="11">
        <f>IF(AN387=21,K387,0)</f>
        <v>0</v>
      </c>
      <c r="AN387" s="20">
        <v>21</v>
      </c>
      <c r="AO387" s="20">
        <f>H387*0</f>
        <v>0</v>
      </c>
      <c r="AP387" s="20">
        <f>H387*(1-0)</f>
        <v>0</v>
      </c>
      <c r="AQ387" s="21" t="s">
        <v>11</v>
      </c>
      <c r="AV387" s="20">
        <f>AW387+AX387</f>
        <v>0</v>
      </c>
      <c r="AW387" s="20">
        <f>G387*AO387</f>
        <v>0</v>
      </c>
      <c r="AX387" s="20">
        <f>G387*AP387</f>
        <v>0</v>
      </c>
      <c r="AY387" s="23" t="s">
        <v>938</v>
      </c>
      <c r="AZ387" s="23" t="s">
        <v>969</v>
      </c>
      <c r="BA387" s="14" t="s">
        <v>976</v>
      </c>
      <c r="BC387" s="20">
        <f>AW387+AX387</f>
        <v>0</v>
      </c>
      <c r="BD387" s="20">
        <f>H387/(100-BE387)*100</f>
        <v>0</v>
      </c>
      <c r="BE387" s="20">
        <v>0</v>
      </c>
      <c r="BF387" s="20">
        <f>M387</f>
        <v>0</v>
      </c>
      <c r="BH387" s="11">
        <f>G387*AO387</f>
        <v>0</v>
      </c>
      <c r="BI387" s="11">
        <f>G387*AP387</f>
        <v>0</v>
      </c>
      <c r="BJ387" s="11">
        <f>G387*H387</f>
        <v>0</v>
      </c>
      <c r="BK387" s="11" t="s">
        <v>981</v>
      </c>
      <c r="BL387" s="20">
        <v>728</v>
      </c>
    </row>
    <row r="388" spans="1:47" ht="12.75">
      <c r="A388" s="2"/>
      <c r="B388" s="6"/>
      <c r="C388" s="6" t="s">
        <v>244</v>
      </c>
      <c r="D388" s="174" t="s">
        <v>569</v>
      </c>
      <c r="E388" s="175"/>
      <c r="F388" s="10" t="s">
        <v>6</v>
      </c>
      <c r="G388" s="10" t="s">
        <v>6</v>
      </c>
      <c r="H388" s="10"/>
      <c r="I388" s="25">
        <f>SUM(I389:I393)</f>
        <v>0</v>
      </c>
      <c r="J388" s="25">
        <f>SUM(J389:J393)</f>
        <v>0</v>
      </c>
      <c r="K388" s="25">
        <f>SUM(K389:K393)</f>
        <v>0</v>
      </c>
      <c r="L388" s="14"/>
      <c r="M388" s="25">
        <f>SUM(M389:M393)</f>
        <v>0.8182828500000001</v>
      </c>
      <c r="N388" s="17"/>
      <c r="O388" s="1"/>
      <c r="AI388" s="14"/>
      <c r="AS388" s="25">
        <f>SUM(AJ389:AJ393)</f>
        <v>0</v>
      </c>
      <c r="AT388" s="25">
        <f>SUM(AK389:AK393)</f>
        <v>0</v>
      </c>
      <c r="AU388" s="25">
        <f>SUM(AL389:AL393)</f>
        <v>0</v>
      </c>
    </row>
    <row r="389" spans="1:64" ht="12.75">
      <c r="A389" s="60" t="s">
        <v>77</v>
      </c>
      <c r="B389" s="5"/>
      <c r="C389" s="5" t="s">
        <v>245</v>
      </c>
      <c r="D389" s="176" t="s">
        <v>570</v>
      </c>
      <c r="E389" s="177"/>
      <c r="F389" s="5" t="s">
        <v>883</v>
      </c>
      <c r="G389" s="11">
        <v>109.935</v>
      </c>
      <c r="H389" s="103"/>
      <c r="I389" s="11">
        <f>G389*AO389</f>
        <v>0</v>
      </c>
      <c r="J389" s="11">
        <f>G389*AP389</f>
        <v>0</v>
      </c>
      <c r="K389" s="11">
        <f>G389*H389</f>
        <v>0</v>
      </c>
      <c r="L389" s="11">
        <v>0.00099</v>
      </c>
      <c r="M389" s="11">
        <f>G389*L389</f>
        <v>0.10883565</v>
      </c>
      <c r="N389" s="15" t="s">
        <v>912</v>
      </c>
      <c r="O389" s="1"/>
      <c r="Z389" s="20">
        <f>IF(AQ389="5",BJ389,0)</f>
        <v>0</v>
      </c>
      <c r="AB389" s="20">
        <f>IF(AQ389="1",BH389,0)</f>
        <v>0</v>
      </c>
      <c r="AC389" s="20">
        <f>IF(AQ389="1",BI389,0)</f>
        <v>0</v>
      </c>
      <c r="AD389" s="20">
        <f>IF(AQ389="7",BH389,0)</f>
        <v>0</v>
      </c>
      <c r="AE389" s="20">
        <f>IF(AQ389="7",BI389,0)</f>
        <v>0</v>
      </c>
      <c r="AF389" s="20">
        <f>IF(AQ389="2",BH389,0)</f>
        <v>0</v>
      </c>
      <c r="AG389" s="20">
        <f>IF(AQ389="2",BI389,0)</f>
        <v>0</v>
      </c>
      <c r="AH389" s="20">
        <f>IF(AQ389="0",BJ389,0)</f>
        <v>0</v>
      </c>
      <c r="AI389" s="14"/>
      <c r="AJ389" s="11">
        <f>IF(AN389=0,K389,0)</f>
        <v>0</v>
      </c>
      <c r="AK389" s="11">
        <f>IF(AN389=15,K389,0)</f>
        <v>0</v>
      </c>
      <c r="AL389" s="11">
        <f>IF(AN389=21,K389,0)</f>
        <v>0</v>
      </c>
      <c r="AN389" s="20">
        <v>21</v>
      </c>
      <c r="AO389" s="20">
        <f>H389*0.041605758850059</f>
        <v>0</v>
      </c>
      <c r="AP389" s="20">
        <f>H389*(1-0.041605758850059)</f>
        <v>0</v>
      </c>
      <c r="AQ389" s="21" t="s">
        <v>13</v>
      </c>
      <c r="AV389" s="20">
        <f>AW389+AX389</f>
        <v>0</v>
      </c>
      <c r="AW389" s="20">
        <f>G389*AO389</f>
        <v>0</v>
      </c>
      <c r="AX389" s="20">
        <f>G389*AP389</f>
        <v>0</v>
      </c>
      <c r="AY389" s="23" t="s">
        <v>939</v>
      </c>
      <c r="AZ389" s="23" t="s">
        <v>970</v>
      </c>
      <c r="BA389" s="14" t="s">
        <v>976</v>
      </c>
      <c r="BC389" s="20">
        <f>AW389+AX389</f>
        <v>0</v>
      </c>
      <c r="BD389" s="20">
        <f>H389/(100-BE389)*100</f>
        <v>0</v>
      </c>
      <c r="BE389" s="20">
        <v>0</v>
      </c>
      <c r="BF389" s="20">
        <f>M389</f>
        <v>0.10883565</v>
      </c>
      <c r="BH389" s="11">
        <f>G389*AO389</f>
        <v>0</v>
      </c>
      <c r="BI389" s="11">
        <f>G389*AP389</f>
        <v>0</v>
      </c>
      <c r="BJ389" s="11">
        <f>G389*H389</f>
        <v>0</v>
      </c>
      <c r="BK389" s="11" t="s">
        <v>981</v>
      </c>
      <c r="BL389" s="20">
        <v>762</v>
      </c>
    </row>
    <row r="390" spans="1:15" ht="12.75">
      <c r="A390" s="1"/>
      <c r="D390" s="8" t="s">
        <v>571</v>
      </c>
      <c r="E390" s="9" t="s">
        <v>842</v>
      </c>
      <c r="G390" s="12">
        <v>109.935</v>
      </c>
      <c r="N390" s="16"/>
      <c r="O390" s="1"/>
    </row>
    <row r="391" spans="1:64" ht="12.75">
      <c r="A391" s="61" t="s">
        <v>78</v>
      </c>
      <c r="B391" s="7"/>
      <c r="C391" s="7" t="s">
        <v>246</v>
      </c>
      <c r="D391" s="179" t="s">
        <v>572</v>
      </c>
      <c r="E391" s="180"/>
      <c r="F391" s="7" t="s">
        <v>882</v>
      </c>
      <c r="G391" s="13">
        <v>1.07492</v>
      </c>
      <c r="H391" s="104"/>
      <c r="I391" s="13">
        <f>G391*AO391</f>
        <v>0</v>
      </c>
      <c r="J391" s="13">
        <f>G391*AP391</f>
        <v>0</v>
      </c>
      <c r="K391" s="13">
        <f>G391*H391</f>
        <v>0</v>
      </c>
      <c r="L391" s="13">
        <v>0.66</v>
      </c>
      <c r="M391" s="13">
        <f>G391*L391</f>
        <v>0.7094472000000001</v>
      </c>
      <c r="N391" s="18" t="s">
        <v>913</v>
      </c>
      <c r="O391" s="1"/>
      <c r="Z391" s="20">
        <f>IF(AQ391="5",BJ391,0)</f>
        <v>0</v>
      </c>
      <c r="AB391" s="20">
        <f>IF(AQ391="1",BH391,0)</f>
        <v>0</v>
      </c>
      <c r="AC391" s="20">
        <f>IF(AQ391="1",BI391,0)</f>
        <v>0</v>
      </c>
      <c r="AD391" s="20">
        <f>IF(AQ391="7",BH391,0)</f>
        <v>0</v>
      </c>
      <c r="AE391" s="20">
        <f>IF(AQ391="7",BI391,0)</f>
        <v>0</v>
      </c>
      <c r="AF391" s="20">
        <f>IF(AQ391="2",BH391,0)</f>
        <v>0</v>
      </c>
      <c r="AG391" s="20">
        <f>IF(AQ391="2",BI391,0)</f>
        <v>0</v>
      </c>
      <c r="AH391" s="20">
        <f>IF(AQ391="0",BJ391,0)</f>
        <v>0</v>
      </c>
      <c r="AI391" s="14"/>
      <c r="AJ391" s="13">
        <f>IF(AN391=0,K391,0)</f>
        <v>0</v>
      </c>
      <c r="AK391" s="13">
        <f>IF(AN391=15,K391,0)</f>
        <v>0</v>
      </c>
      <c r="AL391" s="13">
        <f>IF(AN391=21,K391,0)</f>
        <v>0</v>
      </c>
      <c r="AN391" s="20">
        <v>21</v>
      </c>
      <c r="AO391" s="20">
        <f>H391*1</f>
        <v>0</v>
      </c>
      <c r="AP391" s="20">
        <f>H391*(1-1)</f>
        <v>0</v>
      </c>
      <c r="AQ391" s="22" t="s">
        <v>13</v>
      </c>
      <c r="AV391" s="20">
        <f>AW391+AX391</f>
        <v>0</v>
      </c>
      <c r="AW391" s="20">
        <f>G391*AO391</f>
        <v>0</v>
      </c>
      <c r="AX391" s="20">
        <f>G391*AP391</f>
        <v>0</v>
      </c>
      <c r="AY391" s="23" t="s">
        <v>939</v>
      </c>
      <c r="AZ391" s="23" t="s">
        <v>970</v>
      </c>
      <c r="BA391" s="14" t="s">
        <v>976</v>
      </c>
      <c r="BC391" s="20">
        <f>AW391+AX391</f>
        <v>0</v>
      </c>
      <c r="BD391" s="20">
        <f>H391/(100-BE391)*100</f>
        <v>0</v>
      </c>
      <c r="BE391" s="20">
        <v>0</v>
      </c>
      <c r="BF391" s="20">
        <f>M391</f>
        <v>0.7094472000000001</v>
      </c>
      <c r="BH391" s="13">
        <f>G391*AO391</f>
        <v>0</v>
      </c>
      <c r="BI391" s="13">
        <f>G391*AP391</f>
        <v>0</v>
      </c>
      <c r="BJ391" s="13">
        <f>G391*H391</f>
        <v>0</v>
      </c>
      <c r="BK391" s="13" t="s">
        <v>982</v>
      </c>
      <c r="BL391" s="20">
        <v>762</v>
      </c>
    </row>
    <row r="392" spans="1:15" ht="12.75">
      <c r="A392" s="1"/>
      <c r="D392" s="8" t="s">
        <v>573</v>
      </c>
      <c r="E392" s="9" t="s">
        <v>842</v>
      </c>
      <c r="G392" s="12">
        <v>1.07492</v>
      </c>
      <c r="N392" s="16"/>
      <c r="O392" s="1"/>
    </row>
    <row r="393" spans="1:64" ht="12.75">
      <c r="A393" s="60" t="s">
        <v>79</v>
      </c>
      <c r="B393" s="5"/>
      <c r="C393" s="5" t="s">
        <v>247</v>
      </c>
      <c r="D393" s="176" t="s">
        <v>574</v>
      </c>
      <c r="E393" s="177"/>
      <c r="F393" s="5" t="s">
        <v>887</v>
      </c>
      <c r="G393" s="11">
        <v>0.81828</v>
      </c>
      <c r="H393" s="103"/>
      <c r="I393" s="11">
        <f>G393*AO393</f>
        <v>0</v>
      </c>
      <c r="J393" s="11">
        <f>G393*AP393</f>
        <v>0</v>
      </c>
      <c r="K393" s="11">
        <f>G393*H393</f>
        <v>0</v>
      </c>
      <c r="L393" s="11">
        <v>0</v>
      </c>
      <c r="M393" s="11">
        <f>G393*L393</f>
        <v>0</v>
      </c>
      <c r="N393" s="15" t="s">
        <v>912</v>
      </c>
      <c r="O393" s="1"/>
      <c r="Z393" s="20">
        <f>IF(AQ393="5",BJ393,0)</f>
        <v>0</v>
      </c>
      <c r="AB393" s="20">
        <f>IF(AQ393="1",BH393,0)</f>
        <v>0</v>
      </c>
      <c r="AC393" s="20">
        <f>IF(AQ393="1",BI393,0)</f>
        <v>0</v>
      </c>
      <c r="AD393" s="20">
        <f>IF(AQ393="7",BH393,0)</f>
        <v>0</v>
      </c>
      <c r="AE393" s="20">
        <f>IF(AQ393="7",BI393,0)</f>
        <v>0</v>
      </c>
      <c r="AF393" s="20">
        <f>IF(AQ393="2",BH393,0)</f>
        <v>0</v>
      </c>
      <c r="AG393" s="20">
        <f>IF(AQ393="2",BI393,0)</f>
        <v>0</v>
      </c>
      <c r="AH393" s="20">
        <f>IF(AQ393="0",BJ393,0)</f>
        <v>0</v>
      </c>
      <c r="AI393" s="14"/>
      <c r="AJ393" s="11">
        <f>IF(AN393=0,K393,0)</f>
        <v>0</v>
      </c>
      <c r="AK393" s="11">
        <f>IF(AN393=15,K393,0)</f>
        <v>0</v>
      </c>
      <c r="AL393" s="11">
        <f>IF(AN393=21,K393,0)</f>
        <v>0</v>
      </c>
      <c r="AN393" s="20">
        <v>21</v>
      </c>
      <c r="AO393" s="20">
        <f>H393*0</f>
        <v>0</v>
      </c>
      <c r="AP393" s="20">
        <f>H393*(1-0)</f>
        <v>0</v>
      </c>
      <c r="AQ393" s="21" t="s">
        <v>11</v>
      </c>
      <c r="AV393" s="20">
        <f>AW393+AX393</f>
        <v>0</v>
      </c>
      <c r="AW393" s="20">
        <f>G393*AO393</f>
        <v>0</v>
      </c>
      <c r="AX393" s="20">
        <f>G393*AP393</f>
        <v>0</v>
      </c>
      <c r="AY393" s="23" t="s">
        <v>939</v>
      </c>
      <c r="AZ393" s="23" t="s">
        <v>970</v>
      </c>
      <c r="BA393" s="14" t="s">
        <v>976</v>
      </c>
      <c r="BC393" s="20">
        <f>AW393+AX393</f>
        <v>0</v>
      </c>
      <c r="BD393" s="20">
        <f>H393/(100-BE393)*100</f>
        <v>0</v>
      </c>
      <c r="BE393" s="20">
        <v>0</v>
      </c>
      <c r="BF393" s="20">
        <f>M393</f>
        <v>0</v>
      </c>
      <c r="BH393" s="11">
        <f>G393*AO393</f>
        <v>0</v>
      </c>
      <c r="BI393" s="11">
        <f>G393*AP393</f>
        <v>0</v>
      </c>
      <c r="BJ393" s="11">
        <f>G393*H393</f>
        <v>0</v>
      </c>
      <c r="BK393" s="11" t="s">
        <v>981</v>
      </c>
      <c r="BL393" s="20">
        <v>762</v>
      </c>
    </row>
    <row r="394" spans="1:47" ht="12.75">
      <c r="A394" s="2"/>
      <c r="B394" s="6"/>
      <c r="C394" s="6" t="s">
        <v>248</v>
      </c>
      <c r="D394" s="174" t="s">
        <v>575</v>
      </c>
      <c r="E394" s="175"/>
      <c r="F394" s="10" t="s">
        <v>6</v>
      </c>
      <c r="G394" s="10" t="s">
        <v>6</v>
      </c>
      <c r="H394" s="10"/>
      <c r="I394" s="25">
        <f>SUM(I395:I467)</f>
        <v>0</v>
      </c>
      <c r="J394" s="25">
        <f>SUM(J395:J467)</f>
        <v>0</v>
      </c>
      <c r="K394" s="25">
        <f>SUM(K395:K467)</f>
        <v>0</v>
      </c>
      <c r="L394" s="14"/>
      <c r="M394" s="25">
        <f>SUM(M395:M467)</f>
        <v>4.7828024</v>
      </c>
      <c r="N394" s="17"/>
      <c r="O394" s="1"/>
      <c r="AI394" s="14"/>
      <c r="AS394" s="25">
        <f>SUM(AJ395:AJ467)</f>
        <v>0</v>
      </c>
      <c r="AT394" s="25">
        <f>SUM(AK395:AK467)</f>
        <v>0</v>
      </c>
      <c r="AU394" s="25">
        <f>SUM(AL395:AL467)</f>
        <v>0</v>
      </c>
    </row>
    <row r="395" spans="1:64" ht="12.75">
      <c r="A395" s="60" t="s">
        <v>80</v>
      </c>
      <c r="B395" s="5"/>
      <c r="C395" s="5" t="s">
        <v>249</v>
      </c>
      <c r="D395" s="176" t="s">
        <v>576</v>
      </c>
      <c r="E395" s="177"/>
      <c r="F395" s="5" t="s">
        <v>883</v>
      </c>
      <c r="G395" s="11">
        <v>46.64</v>
      </c>
      <c r="H395" s="103"/>
      <c r="I395" s="11">
        <f>G395*AO395</f>
        <v>0</v>
      </c>
      <c r="J395" s="11">
        <f>G395*AP395</f>
        <v>0</v>
      </c>
      <c r="K395" s="11">
        <f>G395*H395</f>
        <v>0</v>
      </c>
      <c r="L395" s="11">
        <v>0.00464</v>
      </c>
      <c r="M395" s="11">
        <f>G395*L395</f>
        <v>0.2164096</v>
      </c>
      <c r="N395" s="15" t="s">
        <v>912</v>
      </c>
      <c r="O395" s="1"/>
      <c r="Z395" s="20">
        <f>IF(AQ395="5",BJ395,0)</f>
        <v>0</v>
      </c>
      <c r="AB395" s="20">
        <f>IF(AQ395="1",BH395,0)</f>
        <v>0</v>
      </c>
      <c r="AC395" s="20">
        <f>IF(AQ395="1",BI395,0)</f>
        <v>0</v>
      </c>
      <c r="AD395" s="20">
        <f>IF(AQ395="7",BH395,0)</f>
        <v>0</v>
      </c>
      <c r="AE395" s="20">
        <f>IF(AQ395="7",BI395,0)</f>
        <v>0</v>
      </c>
      <c r="AF395" s="20">
        <f>IF(AQ395="2",BH395,0)</f>
        <v>0</v>
      </c>
      <c r="AG395" s="20">
        <f>IF(AQ395="2",BI395,0)</f>
        <v>0</v>
      </c>
      <c r="AH395" s="20">
        <f>IF(AQ395="0",BJ395,0)</f>
        <v>0</v>
      </c>
      <c r="AI395" s="14"/>
      <c r="AJ395" s="11">
        <f>IF(AN395=0,K395,0)</f>
        <v>0</v>
      </c>
      <c r="AK395" s="11">
        <f>IF(AN395=15,K395,0)</f>
        <v>0</v>
      </c>
      <c r="AL395" s="11">
        <f>IF(AN395=21,K395,0)</f>
        <v>0</v>
      </c>
      <c r="AN395" s="20">
        <v>21</v>
      </c>
      <c r="AO395" s="20">
        <f>H395*0</f>
        <v>0</v>
      </c>
      <c r="AP395" s="20">
        <f>H395*(1-0)</f>
        <v>0</v>
      </c>
      <c r="AQ395" s="21" t="s">
        <v>13</v>
      </c>
      <c r="AV395" s="20">
        <f>AW395+AX395</f>
        <v>0</v>
      </c>
      <c r="AW395" s="20">
        <f>G395*AO395</f>
        <v>0</v>
      </c>
      <c r="AX395" s="20">
        <f>G395*AP395</f>
        <v>0</v>
      </c>
      <c r="AY395" s="23" t="s">
        <v>940</v>
      </c>
      <c r="AZ395" s="23" t="s">
        <v>970</v>
      </c>
      <c r="BA395" s="14" t="s">
        <v>976</v>
      </c>
      <c r="BC395" s="20">
        <f>AW395+AX395</f>
        <v>0</v>
      </c>
      <c r="BD395" s="20">
        <f>H395/(100-BE395)*100</f>
        <v>0</v>
      </c>
      <c r="BE395" s="20">
        <v>0</v>
      </c>
      <c r="BF395" s="20">
        <f>M395</f>
        <v>0.2164096</v>
      </c>
      <c r="BH395" s="11">
        <f>G395*AO395</f>
        <v>0</v>
      </c>
      <c r="BI395" s="11">
        <f>G395*AP395</f>
        <v>0</v>
      </c>
      <c r="BJ395" s="11">
        <f>G395*H395</f>
        <v>0</v>
      </c>
      <c r="BK395" s="11" t="s">
        <v>981</v>
      </c>
      <c r="BL395" s="20">
        <v>764</v>
      </c>
    </row>
    <row r="396" spans="1:15" ht="12.75">
      <c r="A396" s="1"/>
      <c r="D396" s="8" t="s">
        <v>577</v>
      </c>
      <c r="E396" s="9" t="s">
        <v>791</v>
      </c>
      <c r="G396" s="12">
        <v>23.32</v>
      </c>
      <c r="N396" s="16"/>
      <c r="O396" s="1"/>
    </row>
    <row r="397" spans="1:15" ht="12.75">
      <c r="A397" s="1"/>
      <c r="D397" s="8" t="s">
        <v>577</v>
      </c>
      <c r="E397" s="9" t="s">
        <v>792</v>
      </c>
      <c r="G397" s="12">
        <v>23.32</v>
      </c>
      <c r="N397" s="16"/>
      <c r="O397" s="1"/>
    </row>
    <row r="398" spans="1:64" ht="12.75">
      <c r="A398" s="60" t="s">
        <v>81</v>
      </c>
      <c r="B398" s="5"/>
      <c r="C398" s="5" t="s">
        <v>250</v>
      </c>
      <c r="D398" s="176" t="s">
        <v>578</v>
      </c>
      <c r="E398" s="177"/>
      <c r="F398" s="5" t="s">
        <v>886</v>
      </c>
      <c r="G398" s="11">
        <v>93.4</v>
      </c>
      <c r="H398" s="103"/>
      <c r="I398" s="11">
        <f>G398*AO398</f>
        <v>0</v>
      </c>
      <c r="J398" s="11">
        <f>G398*AP398</f>
        <v>0</v>
      </c>
      <c r="K398" s="11">
        <f>G398*H398</f>
        <v>0</v>
      </c>
      <c r="L398" s="11">
        <v>0.00069</v>
      </c>
      <c r="M398" s="11">
        <f>G398*L398</f>
        <v>0.064446</v>
      </c>
      <c r="N398" s="15" t="s">
        <v>912</v>
      </c>
      <c r="O398" s="1"/>
      <c r="Z398" s="20">
        <f>IF(AQ398="5",BJ398,0)</f>
        <v>0</v>
      </c>
      <c r="AB398" s="20">
        <f>IF(AQ398="1",BH398,0)</f>
        <v>0</v>
      </c>
      <c r="AC398" s="20">
        <f>IF(AQ398="1",BI398,0)</f>
        <v>0</v>
      </c>
      <c r="AD398" s="20">
        <f>IF(AQ398="7",BH398,0)</f>
        <v>0</v>
      </c>
      <c r="AE398" s="20">
        <f>IF(AQ398="7",BI398,0)</f>
        <v>0</v>
      </c>
      <c r="AF398" s="20">
        <f>IF(AQ398="2",BH398,0)</f>
        <v>0</v>
      </c>
      <c r="AG398" s="20">
        <f>IF(AQ398="2",BI398,0)</f>
        <v>0</v>
      </c>
      <c r="AH398" s="20">
        <f>IF(AQ398="0",BJ398,0)</f>
        <v>0</v>
      </c>
      <c r="AI398" s="14"/>
      <c r="AJ398" s="11">
        <f>IF(AN398=0,K398,0)</f>
        <v>0</v>
      </c>
      <c r="AK398" s="11">
        <f>IF(AN398=15,K398,0)</f>
        <v>0</v>
      </c>
      <c r="AL398" s="11">
        <f>IF(AN398=21,K398,0)</f>
        <v>0</v>
      </c>
      <c r="AN398" s="20">
        <v>21</v>
      </c>
      <c r="AO398" s="20">
        <f>H398*0</f>
        <v>0</v>
      </c>
      <c r="AP398" s="20">
        <f>H398*(1-0)</f>
        <v>0</v>
      </c>
      <c r="AQ398" s="21" t="s">
        <v>13</v>
      </c>
      <c r="AV398" s="20">
        <f>AW398+AX398</f>
        <v>0</v>
      </c>
      <c r="AW398" s="20">
        <f>G398*AO398</f>
        <v>0</v>
      </c>
      <c r="AX398" s="20">
        <f>G398*AP398</f>
        <v>0</v>
      </c>
      <c r="AY398" s="23" t="s">
        <v>940</v>
      </c>
      <c r="AZ398" s="23" t="s">
        <v>970</v>
      </c>
      <c r="BA398" s="14" t="s">
        <v>976</v>
      </c>
      <c r="BC398" s="20">
        <f>AW398+AX398</f>
        <v>0</v>
      </c>
      <c r="BD398" s="20">
        <f>H398/(100-BE398)*100</f>
        <v>0</v>
      </c>
      <c r="BE398" s="20">
        <v>0</v>
      </c>
      <c r="BF398" s="20">
        <f>M398</f>
        <v>0.064446</v>
      </c>
      <c r="BH398" s="11">
        <f>G398*AO398</f>
        <v>0</v>
      </c>
      <c r="BI398" s="11">
        <f>G398*AP398</f>
        <v>0</v>
      </c>
      <c r="BJ398" s="11">
        <f>G398*H398</f>
        <v>0</v>
      </c>
      <c r="BK398" s="11" t="s">
        <v>981</v>
      </c>
      <c r="BL398" s="20">
        <v>764</v>
      </c>
    </row>
    <row r="399" spans="1:15" ht="12.75">
      <c r="A399" s="1"/>
      <c r="D399" s="8" t="s">
        <v>579</v>
      </c>
      <c r="E399" s="9" t="s">
        <v>791</v>
      </c>
      <c r="G399" s="12">
        <v>46.66</v>
      </c>
      <c r="N399" s="16"/>
      <c r="O399" s="1"/>
    </row>
    <row r="400" spans="1:15" ht="12.75">
      <c r="A400" s="1"/>
      <c r="D400" s="8" t="s">
        <v>580</v>
      </c>
      <c r="E400" s="9" t="s">
        <v>792</v>
      </c>
      <c r="G400" s="12">
        <v>46.74</v>
      </c>
      <c r="N400" s="16"/>
      <c r="O400" s="1"/>
    </row>
    <row r="401" spans="1:64" ht="12.75">
      <c r="A401" s="60" t="s">
        <v>82</v>
      </c>
      <c r="B401" s="5"/>
      <c r="C401" s="5" t="s">
        <v>251</v>
      </c>
      <c r="D401" s="176" t="s">
        <v>581</v>
      </c>
      <c r="E401" s="177"/>
      <c r="F401" s="5" t="s">
        <v>883</v>
      </c>
      <c r="G401" s="11">
        <v>132.3</v>
      </c>
      <c r="H401" s="103"/>
      <c r="I401" s="11">
        <f>G401*AO401</f>
        <v>0</v>
      </c>
      <c r="J401" s="11">
        <f>G401*AP401</f>
        <v>0</v>
      </c>
      <c r="K401" s="11">
        <f>G401*H401</f>
        <v>0</v>
      </c>
      <c r="L401" s="11">
        <v>0.00336</v>
      </c>
      <c r="M401" s="11">
        <f>G401*L401</f>
        <v>0.44452800000000003</v>
      </c>
      <c r="N401" s="15" t="s">
        <v>912</v>
      </c>
      <c r="O401" s="1"/>
      <c r="Z401" s="20">
        <f>IF(AQ401="5",BJ401,0)</f>
        <v>0</v>
      </c>
      <c r="AB401" s="20">
        <f>IF(AQ401="1",BH401,0)</f>
        <v>0</v>
      </c>
      <c r="AC401" s="20">
        <f>IF(AQ401="1",BI401,0)</f>
        <v>0</v>
      </c>
      <c r="AD401" s="20">
        <f>IF(AQ401="7",BH401,0)</f>
        <v>0</v>
      </c>
      <c r="AE401" s="20">
        <f>IF(AQ401="7",BI401,0)</f>
        <v>0</v>
      </c>
      <c r="AF401" s="20">
        <f>IF(AQ401="2",BH401,0)</f>
        <v>0</v>
      </c>
      <c r="AG401" s="20">
        <f>IF(AQ401="2",BI401,0)</f>
        <v>0</v>
      </c>
      <c r="AH401" s="20">
        <f>IF(AQ401="0",BJ401,0)</f>
        <v>0</v>
      </c>
      <c r="AI401" s="14"/>
      <c r="AJ401" s="11">
        <f>IF(AN401=0,K401,0)</f>
        <v>0</v>
      </c>
      <c r="AK401" s="11">
        <f>IF(AN401=15,K401,0)</f>
        <v>0</v>
      </c>
      <c r="AL401" s="11">
        <f>IF(AN401=21,K401,0)</f>
        <v>0</v>
      </c>
      <c r="AN401" s="20">
        <v>21</v>
      </c>
      <c r="AO401" s="20">
        <f>H401*0</f>
        <v>0</v>
      </c>
      <c r="AP401" s="20">
        <f>H401*(1-0)</f>
        <v>0</v>
      </c>
      <c r="AQ401" s="21" t="s">
        <v>13</v>
      </c>
      <c r="AV401" s="20">
        <f>AW401+AX401</f>
        <v>0</v>
      </c>
      <c r="AW401" s="20">
        <f>G401*AO401</f>
        <v>0</v>
      </c>
      <c r="AX401" s="20">
        <f>G401*AP401</f>
        <v>0</v>
      </c>
      <c r="AY401" s="23" t="s">
        <v>940</v>
      </c>
      <c r="AZ401" s="23" t="s">
        <v>970</v>
      </c>
      <c r="BA401" s="14" t="s">
        <v>976</v>
      </c>
      <c r="BC401" s="20">
        <f>AW401+AX401</f>
        <v>0</v>
      </c>
      <c r="BD401" s="20">
        <f>H401/(100-BE401)*100</f>
        <v>0</v>
      </c>
      <c r="BE401" s="20">
        <v>0</v>
      </c>
      <c r="BF401" s="20">
        <f>M401</f>
        <v>0.44452800000000003</v>
      </c>
      <c r="BH401" s="11">
        <f>G401*AO401</f>
        <v>0</v>
      </c>
      <c r="BI401" s="11">
        <f>G401*AP401</f>
        <v>0</v>
      </c>
      <c r="BJ401" s="11">
        <f>G401*H401</f>
        <v>0</v>
      </c>
      <c r="BK401" s="11" t="s">
        <v>981</v>
      </c>
      <c r="BL401" s="20">
        <v>764</v>
      </c>
    </row>
    <row r="402" spans="1:15" ht="12.75">
      <c r="A402" s="1"/>
      <c r="D402" s="8" t="s">
        <v>582</v>
      </c>
      <c r="E402" s="9" t="s">
        <v>791</v>
      </c>
      <c r="G402" s="12">
        <v>63.9</v>
      </c>
      <c r="N402" s="16"/>
      <c r="O402" s="1"/>
    </row>
    <row r="403" spans="1:15" ht="12.75">
      <c r="A403" s="1"/>
      <c r="D403" s="8" t="s">
        <v>583</v>
      </c>
      <c r="E403" s="9" t="s">
        <v>792</v>
      </c>
      <c r="G403" s="12">
        <v>68.4</v>
      </c>
      <c r="N403" s="16"/>
      <c r="O403" s="1"/>
    </row>
    <row r="404" spans="1:64" ht="12.75">
      <c r="A404" s="60" t="s">
        <v>83</v>
      </c>
      <c r="B404" s="5"/>
      <c r="C404" s="5" t="s">
        <v>252</v>
      </c>
      <c r="D404" s="176" t="s">
        <v>584</v>
      </c>
      <c r="E404" s="177"/>
      <c r="F404" s="5" t="s">
        <v>886</v>
      </c>
      <c r="G404" s="11">
        <v>10</v>
      </c>
      <c r="H404" s="103"/>
      <c r="I404" s="11">
        <f>G404*AO404</f>
        <v>0</v>
      </c>
      <c r="J404" s="11">
        <f>G404*AP404</f>
        <v>0</v>
      </c>
      <c r="K404" s="11">
        <f>G404*H404</f>
        <v>0</v>
      </c>
      <c r="L404" s="11">
        <v>0.0045</v>
      </c>
      <c r="M404" s="11">
        <f>G404*L404</f>
        <v>0.045</v>
      </c>
      <c r="N404" s="15" t="s">
        <v>913</v>
      </c>
      <c r="O404" s="1"/>
      <c r="Z404" s="20">
        <f>IF(AQ404="5",BJ404,0)</f>
        <v>0</v>
      </c>
      <c r="AB404" s="20">
        <f>IF(AQ404="1",BH404,0)</f>
        <v>0</v>
      </c>
      <c r="AC404" s="20">
        <f>IF(AQ404="1",BI404,0)</f>
        <v>0</v>
      </c>
      <c r="AD404" s="20">
        <f>IF(AQ404="7",BH404,0)</f>
        <v>0</v>
      </c>
      <c r="AE404" s="20">
        <f>IF(AQ404="7",BI404,0)</f>
        <v>0</v>
      </c>
      <c r="AF404" s="20">
        <f>IF(AQ404="2",BH404,0)</f>
        <v>0</v>
      </c>
      <c r="AG404" s="20">
        <f>IF(AQ404="2",BI404,0)</f>
        <v>0</v>
      </c>
      <c r="AH404" s="20">
        <f>IF(AQ404="0",BJ404,0)</f>
        <v>0</v>
      </c>
      <c r="AI404" s="14"/>
      <c r="AJ404" s="11">
        <f>IF(AN404=0,K404,0)</f>
        <v>0</v>
      </c>
      <c r="AK404" s="11">
        <f>IF(AN404=15,K404,0)</f>
        <v>0</v>
      </c>
      <c r="AL404" s="11">
        <f>IF(AN404=21,K404,0)</f>
        <v>0</v>
      </c>
      <c r="AN404" s="20">
        <v>21</v>
      </c>
      <c r="AO404" s="20">
        <f>H404*0</f>
        <v>0</v>
      </c>
      <c r="AP404" s="20">
        <f>H404*(1-0)</f>
        <v>0</v>
      </c>
      <c r="AQ404" s="21" t="s">
        <v>13</v>
      </c>
      <c r="AV404" s="20">
        <f>AW404+AX404</f>
        <v>0</v>
      </c>
      <c r="AW404" s="20">
        <f>G404*AO404</f>
        <v>0</v>
      </c>
      <c r="AX404" s="20">
        <f>G404*AP404</f>
        <v>0</v>
      </c>
      <c r="AY404" s="23" t="s">
        <v>940</v>
      </c>
      <c r="AZ404" s="23" t="s">
        <v>970</v>
      </c>
      <c r="BA404" s="14" t="s">
        <v>976</v>
      </c>
      <c r="BC404" s="20">
        <f>AW404+AX404</f>
        <v>0</v>
      </c>
      <c r="BD404" s="20">
        <f>H404/(100-BE404)*100</f>
        <v>0</v>
      </c>
      <c r="BE404" s="20">
        <v>0</v>
      </c>
      <c r="BF404" s="20">
        <f>M404</f>
        <v>0.045</v>
      </c>
      <c r="BH404" s="11">
        <f>G404*AO404</f>
        <v>0</v>
      </c>
      <c r="BI404" s="11">
        <f>G404*AP404</f>
        <v>0</v>
      </c>
      <c r="BJ404" s="11">
        <f>G404*H404</f>
        <v>0</v>
      </c>
      <c r="BK404" s="11" t="s">
        <v>981</v>
      </c>
      <c r="BL404" s="20">
        <v>764</v>
      </c>
    </row>
    <row r="405" spans="1:15" ht="12.75">
      <c r="A405" s="1"/>
      <c r="D405" s="8" t="s">
        <v>11</v>
      </c>
      <c r="E405" s="9" t="s">
        <v>791</v>
      </c>
      <c r="G405" s="12">
        <v>5</v>
      </c>
      <c r="N405" s="16"/>
      <c r="O405" s="1"/>
    </row>
    <row r="406" spans="1:15" ht="12.75">
      <c r="A406" s="1"/>
      <c r="D406" s="8" t="s">
        <v>11</v>
      </c>
      <c r="E406" s="9" t="s">
        <v>792</v>
      </c>
      <c r="G406" s="12">
        <v>5</v>
      </c>
      <c r="N406" s="16"/>
      <c r="O406" s="1"/>
    </row>
    <row r="407" spans="1:64" ht="12.75">
      <c r="A407" s="60" t="s">
        <v>84</v>
      </c>
      <c r="B407" s="5"/>
      <c r="C407" s="5" t="s">
        <v>253</v>
      </c>
      <c r="D407" s="176" t="s">
        <v>585</v>
      </c>
      <c r="E407" s="177"/>
      <c r="F407" s="5" t="s">
        <v>886</v>
      </c>
      <c r="G407" s="11">
        <v>12</v>
      </c>
      <c r="H407" s="103"/>
      <c r="I407" s="11">
        <f>G407*AO407</f>
        <v>0</v>
      </c>
      <c r="J407" s="11">
        <f>G407*AP407</f>
        <v>0</v>
      </c>
      <c r="K407" s="11">
        <f>G407*H407</f>
        <v>0</v>
      </c>
      <c r="L407" s="11">
        <v>0.00115</v>
      </c>
      <c r="M407" s="11">
        <f>G407*L407</f>
        <v>0.0138</v>
      </c>
      <c r="N407" s="15" t="s">
        <v>912</v>
      </c>
      <c r="O407" s="1"/>
      <c r="Z407" s="20">
        <f>IF(AQ407="5",BJ407,0)</f>
        <v>0</v>
      </c>
      <c r="AB407" s="20">
        <f>IF(AQ407="1",BH407,0)</f>
        <v>0</v>
      </c>
      <c r="AC407" s="20">
        <f>IF(AQ407="1",BI407,0)</f>
        <v>0</v>
      </c>
      <c r="AD407" s="20">
        <f>IF(AQ407="7",BH407,0)</f>
        <v>0</v>
      </c>
      <c r="AE407" s="20">
        <f>IF(AQ407="7",BI407,0)</f>
        <v>0</v>
      </c>
      <c r="AF407" s="20">
        <f>IF(AQ407="2",BH407,0)</f>
        <v>0</v>
      </c>
      <c r="AG407" s="20">
        <f>IF(AQ407="2",BI407,0)</f>
        <v>0</v>
      </c>
      <c r="AH407" s="20">
        <f>IF(AQ407="0",BJ407,0)</f>
        <v>0</v>
      </c>
      <c r="AI407" s="14"/>
      <c r="AJ407" s="11">
        <f>IF(AN407=0,K407,0)</f>
        <v>0</v>
      </c>
      <c r="AK407" s="11">
        <f>IF(AN407=15,K407,0)</f>
        <v>0</v>
      </c>
      <c r="AL407" s="11">
        <f>IF(AN407=21,K407,0)</f>
        <v>0</v>
      </c>
      <c r="AN407" s="20">
        <v>21</v>
      </c>
      <c r="AO407" s="20">
        <f>H407*0</f>
        <v>0</v>
      </c>
      <c r="AP407" s="20">
        <f>H407*(1-0)</f>
        <v>0</v>
      </c>
      <c r="AQ407" s="21" t="s">
        <v>13</v>
      </c>
      <c r="AV407" s="20">
        <f>AW407+AX407</f>
        <v>0</v>
      </c>
      <c r="AW407" s="20">
        <f>G407*AO407</f>
        <v>0</v>
      </c>
      <c r="AX407" s="20">
        <f>G407*AP407</f>
        <v>0</v>
      </c>
      <c r="AY407" s="23" t="s">
        <v>940</v>
      </c>
      <c r="AZ407" s="23" t="s">
        <v>970</v>
      </c>
      <c r="BA407" s="14" t="s">
        <v>976</v>
      </c>
      <c r="BC407" s="20">
        <f>AW407+AX407</f>
        <v>0</v>
      </c>
      <c r="BD407" s="20">
        <f>H407/(100-BE407)*100</f>
        <v>0</v>
      </c>
      <c r="BE407" s="20">
        <v>0</v>
      </c>
      <c r="BF407" s="20">
        <f>M407</f>
        <v>0.0138</v>
      </c>
      <c r="BH407" s="11">
        <f>G407*AO407</f>
        <v>0</v>
      </c>
      <c r="BI407" s="11">
        <f>G407*AP407</f>
        <v>0</v>
      </c>
      <c r="BJ407" s="11">
        <f>G407*H407</f>
        <v>0</v>
      </c>
      <c r="BK407" s="11" t="s">
        <v>981</v>
      </c>
      <c r="BL407" s="20">
        <v>764</v>
      </c>
    </row>
    <row r="408" spans="1:15" ht="12.75">
      <c r="A408" s="1"/>
      <c r="D408" s="8" t="s">
        <v>11</v>
      </c>
      <c r="E408" s="9" t="s">
        <v>791</v>
      </c>
      <c r="G408" s="12">
        <v>5</v>
      </c>
      <c r="N408" s="16"/>
      <c r="O408" s="1"/>
    </row>
    <row r="409" spans="1:15" ht="12.75">
      <c r="A409" s="1"/>
      <c r="D409" s="8" t="s">
        <v>11</v>
      </c>
      <c r="E409" s="9" t="s">
        <v>792</v>
      </c>
      <c r="G409" s="12">
        <v>5</v>
      </c>
      <c r="N409" s="16"/>
      <c r="O409" s="1"/>
    </row>
    <row r="410" spans="1:15" ht="12.75">
      <c r="A410" s="1"/>
      <c r="D410" s="8" t="s">
        <v>8</v>
      </c>
      <c r="E410" s="9" t="s">
        <v>818</v>
      </c>
      <c r="G410" s="12">
        <v>2</v>
      </c>
      <c r="N410" s="16"/>
      <c r="O410" s="1"/>
    </row>
    <row r="411" spans="1:64" ht="12.75">
      <c r="A411" s="60" t="s">
        <v>85</v>
      </c>
      <c r="B411" s="5"/>
      <c r="C411" s="5" t="s">
        <v>254</v>
      </c>
      <c r="D411" s="176" t="s">
        <v>586</v>
      </c>
      <c r="E411" s="177"/>
      <c r="F411" s="5" t="s">
        <v>883</v>
      </c>
      <c r="G411" s="11">
        <v>156.16</v>
      </c>
      <c r="H411" s="103"/>
      <c r="I411" s="11">
        <f>G411*AO411</f>
        <v>0</v>
      </c>
      <c r="J411" s="11">
        <f>G411*AP411</f>
        <v>0</v>
      </c>
      <c r="K411" s="11">
        <f>G411*H411</f>
        <v>0</v>
      </c>
      <c r="L411" s="11">
        <v>0.00893</v>
      </c>
      <c r="M411" s="11">
        <f>G411*L411</f>
        <v>1.3945088</v>
      </c>
      <c r="N411" s="15" t="s">
        <v>912</v>
      </c>
      <c r="O411" s="1"/>
      <c r="Z411" s="20">
        <f>IF(AQ411="5",BJ411,0)</f>
        <v>0</v>
      </c>
      <c r="AB411" s="20">
        <f>IF(AQ411="1",BH411,0)</f>
        <v>0</v>
      </c>
      <c r="AC411" s="20">
        <f>IF(AQ411="1",BI411,0)</f>
        <v>0</v>
      </c>
      <c r="AD411" s="20">
        <f>IF(AQ411="7",BH411,0)</f>
        <v>0</v>
      </c>
      <c r="AE411" s="20">
        <f>IF(AQ411="7",BI411,0)</f>
        <v>0</v>
      </c>
      <c r="AF411" s="20">
        <f>IF(AQ411="2",BH411,0)</f>
        <v>0</v>
      </c>
      <c r="AG411" s="20">
        <f>IF(AQ411="2",BI411,0)</f>
        <v>0</v>
      </c>
      <c r="AH411" s="20">
        <f>IF(AQ411="0",BJ411,0)</f>
        <v>0</v>
      </c>
      <c r="AI411" s="14"/>
      <c r="AJ411" s="11">
        <f>IF(AN411=0,K411,0)</f>
        <v>0</v>
      </c>
      <c r="AK411" s="11">
        <f>IF(AN411=15,K411,0)</f>
        <v>0</v>
      </c>
      <c r="AL411" s="11">
        <f>IF(AN411=21,K411,0)</f>
        <v>0</v>
      </c>
      <c r="AN411" s="20">
        <v>21</v>
      </c>
      <c r="AO411" s="20">
        <f>H411*0</f>
        <v>0</v>
      </c>
      <c r="AP411" s="20">
        <f>H411*(1-0)</f>
        <v>0</v>
      </c>
      <c r="AQ411" s="21" t="s">
        <v>13</v>
      </c>
      <c r="AV411" s="20">
        <f>AW411+AX411</f>
        <v>0</v>
      </c>
      <c r="AW411" s="20">
        <f>G411*AO411</f>
        <v>0</v>
      </c>
      <c r="AX411" s="20">
        <f>G411*AP411</f>
        <v>0</v>
      </c>
      <c r="AY411" s="23" t="s">
        <v>940</v>
      </c>
      <c r="AZ411" s="23" t="s">
        <v>970</v>
      </c>
      <c r="BA411" s="14" t="s">
        <v>976</v>
      </c>
      <c r="BC411" s="20">
        <f>AW411+AX411</f>
        <v>0</v>
      </c>
      <c r="BD411" s="20">
        <f>H411/(100-BE411)*100</f>
        <v>0</v>
      </c>
      <c r="BE411" s="20">
        <v>0</v>
      </c>
      <c r="BF411" s="20">
        <f>M411</f>
        <v>1.3945088</v>
      </c>
      <c r="BH411" s="11">
        <f>G411*AO411</f>
        <v>0</v>
      </c>
      <c r="BI411" s="11">
        <f>G411*AP411</f>
        <v>0</v>
      </c>
      <c r="BJ411" s="11">
        <f>G411*H411</f>
        <v>0</v>
      </c>
      <c r="BK411" s="11" t="s">
        <v>981</v>
      </c>
      <c r="BL411" s="20">
        <v>764</v>
      </c>
    </row>
    <row r="412" spans="1:15" ht="12.75">
      <c r="A412" s="1"/>
      <c r="D412" s="8" t="s">
        <v>587</v>
      </c>
      <c r="E412" s="9" t="s">
        <v>816</v>
      </c>
      <c r="G412" s="12">
        <v>52.93</v>
      </c>
      <c r="N412" s="16"/>
      <c r="O412" s="1"/>
    </row>
    <row r="413" spans="1:15" ht="12.75">
      <c r="A413" s="1"/>
      <c r="D413" s="8" t="s">
        <v>588</v>
      </c>
      <c r="E413" s="9" t="s">
        <v>817</v>
      </c>
      <c r="G413" s="12">
        <v>14.03</v>
      </c>
      <c r="N413" s="16"/>
      <c r="O413" s="1"/>
    </row>
    <row r="414" spans="1:15" ht="12.75">
      <c r="A414" s="1"/>
      <c r="D414" s="8" t="s">
        <v>588</v>
      </c>
      <c r="E414" s="9" t="s">
        <v>833</v>
      </c>
      <c r="G414" s="12">
        <v>14.03</v>
      </c>
      <c r="N414" s="16"/>
      <c r="O414" s="1"/>
    </row>
    <row r="415" spans="1:15" ht="12.75">
      <c r="A415" s="1"/>
      <c r="D415" s="8" t="s">
        <v>587</v>
      </c>
      <c r="E415" s="9" t="s">
        <v>819</v>
      </c>
      <c r="G415" s="12">
        <v>52.93</v>
      </c>
      <c r="N415" s="16"/>
      <c r="O415" s="1"/>
    </row>
    <row r="416" spans="1:15" ht="12.75">
      <c r="A416" s="1"/>
      <c r="D416" s="8" t="s">
        <v>589</v>
      </c>
      <c r="E416" s="9" t="s">
        <v>818</v>
      </c>
      <c r="G416" s="12">
        <v>22.24</v>
      </c>
      <c r="N416" s="16"/>
      <c r="O416" s="1"/>
    </row>
    <row r="417" spans="1:64" ht="12.75">
      <c r="A417" s="60" t="s">
        <v>86</v>
      </c>
      <c r="B417" s="5"/>
      <c r="C417" s="5" t="s">
        <v>255</v>
      </c>
      <c r="D417" s="176" t="s">
        <v>590</v>
      </c>
      <c r="E417" s="177"/>
      <c r="F417" s="5" t="s">
        <v>883</v>
      </c>
      <c r="G417" s="11">
        <v>59.68</v>
      </c>
      <c r="H417" s="103"/>
      <c r="I417" s="11">
        <f>G417*AO417</f>
        <v>0</v>
      </c>
      <c r="J417" s="11">
        <f>G417*AP417</f>
        <v>0</v>
      </c>
      <c r="K417" s="11">
        <f>G417*H417</f>
        <v>0</v>
      </c>
      <c r="L417" s="11">
        <v>0.00192</v>
      </c>
      <c r="M417" s="11">
        <f>G417*L417</f>
        <v>0.1145856</v>
      </c>
      <c r="N417" s="15" t="s">
        <v>912</v>
      </c>
      <c r="O417" s="1"/>
      <c r="Z417" s="20">
        <f>IF(AQ417="5",BJ417,0)</f>
        <v>0</v>
      </c>
      <c r="AB417" s="20">
        <f>IF(AQ417="1",BH417,0)</f>
        <v>0</v>
      </c>
      <c r="AC417" s="20">
        <f>IF(AQ417="1",BI417,0)</f>
        <v>0</v>
      </c>
      <c r="AD417" s="20">
        <f>IF(AQ417="7",BH417,0)</f>
        <v>0</v>
      </c>
      <c r="AE417" s="20">
        <f>IF(AQ417="7",BI417,0)</f>
        <v>0</v>
      </c>
      <c r="AF417" s="20">
        <f>IF(AQ417="2",BH417,0)</f>
        <v>0</v>
      </c>
      <c r="AG417" s="20">
        <f>IF(AQ417="2",BI417,0)</f>
        <v>0</v>
      </c>
      <c r="AH417" s="20">
        <f>IF(AQ417="0",BJ417,0)</f>
        <v>0</v>
      </c>
      <c r="AI417" s="14"/>
      <c r="AJ417" s="11">
        <f>IF(AN417=0,K417,0)</f>
        <v>0</v>
      </c>
      <c r="AK417" s="11">
        <f>IF(AN417=15,K417,0)</f>
        <v>0</v>
      </c>
      <c r="AL417" s="11">
        <f>IF(AN417=21,K417,0)</f>
        <v>0</v>
      </c>
      <c r="AN417" s="20">
        <v>21</v>
      </c>
      <c r="AO417" s="20">
        <f>H417*0</f>
        <v>0</v>
      </c>
      <c r="AP417" s="20">
        <f>H417*(1-0)</f>
        <v>0</v>
      </c>
      <c r="AQ417" s="21" t="s">
        <v>13</v>
      </c>
      <c r="AV417" s="20">
        <f>AW417+AX417</f>
        <v>0</v>
      </c>
      <c r="AW417" s="20">
        <f>G417*AO417</f>
        <v>0</v>
      </c>
      <c r="AX417" s="20">
        <f>G417*AP417</f>
        <v>0</v>
      </c>
      <c r="AY417" s="23" t="s">
        <v>940</v>
      </c>
      <c r="AZ417" s="23" t="s">
        <v>970</v>
      </c>
      <c r="BA417" s="14" t="s">
        <v>976</v>
      </c>
      <c r="BC417" s="20">
        <f>AW417+AX417</f>
        <v>0</v>
      </c>
      <c r="BD417" s="20">
        <f>H417/(100-BE417)*100</f>
        <v>0</v>
      </c>
      <c r="BE417" s="20">
        <v>0</v>
      </c>
      <c r="BF417" s="20">
        <f>M417</f>
        <v>0.1145856</v>
      </c>
      <c r="BH417" s="11">
        <f>G417*AO417</f>
        <v>0</v>
      </c>
      <c r="BI417" s="11">
        <f>G417*AP417</f>
        <v>0</v>
      </c>
      <c r="BJ417" s="11">
        <f>G417*H417</f>
        <v>0</v>
      </c>
      <c r="BK417" s="11" t="s">
        <v>981</v>
      </c>
      <c r="BL417" s="20">
        <v>764</v>
      </c>
    </row>
    <row r="418" spans="1:15" ht="12.75">
      <c r="A418" s="1"/>
      <c r="D418" s="8" t="s">
        <v>591</v>
      </c>
      <c r="E418" s="9" t="s">
        <v>791</v>
      </c>
      <c r="G418" s="12">
        <v>29.84</v>
      </c>
      <c r="N418" s="16"/>
      <c r="O418" s="1"/>
    </row>
    <row r="419" spans="1:15" ht="12.75">
      <c r="A419" s="1"/>
      <c r="D419" s="8" t="s">
        <v>591</v>
      </c>
      <c r="E419" s="9" t="s">
        <v>792</v>
      </c>
      <c r="G419" s="12">
        <v>29.84</v>
      </c>
      <c r="N419" s="16"/>
      <c r="O419" s="1"/>
    </row>
    <row r="420" spans="1:64" ht="12.75">
      <c r="A420" s="60" t="s">
        <v>87</v>
      </c>
      <c r="B420" s="5"/>
      <c r="C420" s="5" t="s">
        <v>256</v>
      </c>
      <c r="D420" s="176" t="s">
        <v>592</v>
      </c>
      <c r="E420" s="177"/>
      <c r="F420" s="5" t="s">
        <v>883</v>
      </c>
      <c r="G420" s="11">
        <v>103.5</v>
      </c>
      <c r="H420" s="103"/>
      <c r="I420" s="11">
        <f>G420*AO420</f>
        <v>0</v>
      </c>
      <c r="J420" s="11">
        <f>G420*AP420</f>
        <v>0</v>
      </c>
      <c r="K420" s="11">
        <f>G420*H420</f>
        <v>0</v>
      </c>
      <c r="L420" s="11">
        <v>0.00287</v>
      </c>
      <c r="M420" s="11">
        <f>G420*L420</f>
        <v>0.297045</v>
      </c>
      <c r="N420" s="15" t="s">
        <v>912</v>
      </c>
      <c r="O420" s="1"/>
      <c r="Z420" s="20">
        <f>IF(AQ420="5",BJ420,0)</f>
        <v>0</v>
      </c>
      <c r="AB420" s="20">
        <f>IF(AQ420="1",BH420,0)</f>
        <v>0</v>
      </c>
      <c r="AC420" s="20">
        <f>IF(AQ420="1",BI420,0)</f>
        <v>0</v>
      </c>
      <c r="AD420" s="20">
        <f>IF(AQ420="7",BH420,0)</f>
        <v>0</v>
      </c>
      <c r="AE420" s="20">
        <f>IF(AQ420="7",BI420,0)</f>
        <v>0</v>
      </c>
      <c r="AF420" s="20">
        <f>IF(AQ420="2",BH420,0)</f>
        <v>0</v>
      </c>
      <c r="AG420" s="20">
        <f>IF(AQ420="2",BI420,0)</f>
        <v>0</v>
      </c>
      <c r="AH420" s="20">
        <f>IF(AQ420="0",BJ420,0)</f>
        <v>0</v>
      </c>
      <c r="AI420" s="14"/>
      <c r="AJ420" s="11">
        <f>IF(AN420=0,K420,0)</f>
        <v>0</v>
      </c>
      <c r="AK420" s="11">
        <f>IF(AN420=15,K420,0)</f>
        <v>0</v>
      </c>
      <c r="AL420" s="11">
        <f>IF(AN420=21,K420,0)</f>
        <v>0</v>
      </c>
      <c r="AN420" s="20">
        <v>21</v>
      </c>
      <c r="AO420" s="20">
        <f>H420*0</f>
        <v>0</v>
      </c>
      <c r="AP420" s="20">
        <f>H420*(1-0)</f>
        <v>0</v>
      </c>
      <c r="AQ420" s="21" t="s">
        <v>13</v>
      </c>
      <c r="AV420" s="20">
        <f>AW420+AX420</f>
        <v>0</v>
      </c>
      <c r="AW420" s="20">
        <f>G420*AO420</f>
        <v>0</v>
      </c>
      <c r="AX420" s="20">
        <f>G420*AP420</f>
        <v>0</v>
      </c>
      <c r="AY420" s="23" t="s">
        <v>940</v>
      </c>
      <c r="AZ420" s="23" t="s">
        <v>970</v>
      </c>
      <c r="BA420" s="14" t="s">
        <v>976</v>
      </c>
      <c r="BC420" s="20">
        <f>AW420+AX420</f>
        <v>0</v>
      </c>
      <c r="BD420" s="20">
        <f>H420/(100-BE420)*100</f>
        <v>0</v>
      </c>
      <c r="BE420" s="20">
        <v>0</v>
      </c>
      <c r="BF420" s="20">
        <f>M420</f>
        <v>0.297045</v>
      </c>
      <c r="BH420" s="11">
        <f>G420*AO420</f>
        <v>0</v>
      </c>
      <c r="BI420" s="11">
        <f>G420*AP420</f>
        <v>0</v>
      </c>
      <c r="BJ420" s="11">
        <f>G420*H420</f>
        <v>0</v>
      </c>
      <c r="BK420" s="11" t="s">
        <v>981</v>
      </c>
      <c r="BL420" s="20">
        <v>764</v>
      </c>
    </row>
    <row r="421" spans="1:15" ht="12.75">
      <c r="A421" s="1"/>
      <c r="D421" s="8" t="s">
        <v>593</v>
      </c>
      <c r="E421" s="9" t="s">
        <v>791</v>
      </c>
      <c r="G421" s="12">
        <v>42.64</v>
      </c>
      <c r="N421" s="16"/>
      <c r="O421" s="1"/>
    </row>
    <row r="422" spans="1:15" ht="12.75">
      <c r="A422" s="1"/>
      <c r="D422" s="8" t="s">
        <v>594</v>
      </c>
      <c r="E422" s="9" t="s">
        <v>818</v>
      </c>
      <c r="G422" s="12">
        <v>16.92</v>
      </c>
      <c r="N422" s="16"/>
      <c r="O422" s="1"/>
    </row>
    <row r="423" spans="1:15" ht="12.75">
      <c r="A423" s="1"/>
      <c r="D423" s="8" t="s">
        <v>595</v>
      </c>
      <c r="E423" s="9" t="s">
        <v>792</v>
      </c>
      <c r="G423" s="12">
        <v>43.94</v>
      </c>
      <c r="N423" s="16"/>
      <c r="O423" s="1"/>
    </row>
    <row r="424" spans="1:64" ht="12.75">
      <c r="A424" s="60" t="s">
        <v>88</v>
      </c>
      <c r="B424" s="5"/>
      <c r="C424" s="5" t="s">
        <v>257</v>
      </c>
      <c r="D424" s="176" t="s">
        <v>596</v>
      </c>
      <c r="E424" s="177"/>
      <c r="F424" s="5" t="s">
        <v>883</v>
      </c>
      <c r="G424" s="11">
        <v>139.4</v>
      </c>
      <c r="H424" s="103"/>
      <c r="I424" s="11">
        <f>G424*AO424</f>
        <v>0</v>
      </c>
      <c r="J424" s="11">
        <f>G424*AP424</f>
        <v>0</v>
      </c>
      <c r="K424" s="11">
        <f>G424*H424</f>
        <v>0</v>
      </c>
      <c r="L424" s="11">
        <v>0.00262</v>
      </c>
      <c r="M424" s="11">
        <f>G424*L424</f>
        <v>0.365228</v>
      </c>
      <c r="N424" s="15" t="s">
        <v>912</v>
      </c>
      <c r="O424" s="1"/>
      <c r="Z424" s="20">
        <f>IF(AQ424="5",BJ424,0)</f>
        <v>0</v>
      </c>
      <c r="AB424" s="20">
        <f>IF(AQ424="1",BH424,0)</f>
        <v>0</v>
      </c>
      <c r="AC424" s="20">
        <f>IF(AQ424="1",BI424,0)</f>
        <v>0</v>
      </c>
      <c r="AD424" s="20">
        <f>IF(AQ424="7",BH424,0)</f>
        <v>0</v>
      </c>
      <c r="AE424" s="20">
        <f>IF(AQ424="7",BI424,0)</f>
        <v>0</v>
      </c>
      <c r="AF424" s="20">
        <f>IF(AQ424="2",BH424,0)</f>
        <v>0</v>
      </c>
      <c r="AG424" s="20">
        <f>IF(AQ424="2",BI424,0)</f>
        <v>0</v>
      </c>
      <c r="AH424" s="20">
        <f>IF(AQ424="0",BJ424,0)</f>
        <v>0</v>
      </c>
      <c r="AI424" s="14"/>
      <c r="AJ424" s="11">
        <f>IF(AN424=0,K424,0)</f>
        <v>0</v>
      </c>
      <c r="AK424" s="11">
        <f>IF(AN424=15,K424,0)</f>
        <v>0</v>
      </c>
      <c r="AL424" s="11">
        <f>IF(AN424=21,K424,0)</f>
        <v>0</v>
      </c>
      <c r="AN424" s="20">
        <v>21</v>
      </c>
      <c r="AO424" s="20">
        <f>H424*0.600832196452933</f>
        <v>0</v>
      </c>
      <c r="AP424" s="20">
        <f>H424*(1-0.600832196452933)</f>
        <v>0</v>
      </c>
      <c r="AQ424" s="21" t="s">
        <v>13</v>
      </c>
      <c r="AV424" s="20">
        <f>AW424+AX424</f>
        <v>0</v>
      </c>
      <c r="AW424" s="20">
        <f>G424*AO424</f>
        <v>0</v>
      </c>
      <c r="AX424" s="20">
        <f>G424*AP424</f>
        <v>0</v>
      </c>
      <c r="AY424" s="23" t="s">
        <v>940</v>
      </c>
      <c r="AZ424" s="23" t="s">
        <v>970</v>
      </c>
      <c r="BA424" s="14" t="s">
        <v>976</v>
      </c>
      <c r="BC424" s="20">
        <f>AW424+AX424</f>
        <v>0</v>
      </c>
      <c r="BD424" s="20">
        <f>H424/(100-BE424)*100</f>
        <v>0</v>
      </c>
      <c r="BE424" s="20">
        <v>0</v>
      </c>
      <c r="BF424" s="20">
        <f>M424</f>
        <v>0.365228</v>
      </c>
      <c r="BH424" s="11">
        <f>G424*AO424</f>
        <v>0</v>
      </c>
      <c r="BI424" s="11">
        <f>G424*AP424</f>
        <v>0</v>
      </c>
      <c r="BJ424" s="11">
        <f>G424*H424</f>
        <v>0</v>
      </c>
      <c r="BK424" s="11" t="s">
        <v>981</v>
      </c>
      <c r="BL424" s="20">
        <v>764</v>
      </c>
    </row>
    <row r="425" spans="1:15" ht="12.75">
      <c r="A425" s="1"/>
      <c r="D425" s="8" t="s">
        <v>582</v>
      </c>
      <c r="E425" s="9" t="s">
        <v>791</v>
      </c>
      <c r="G425" s="12">
        <v>63.9</v>
      </c>
      <c r="N425" s="16"/>
      <c r="O425" s="1"/>
    </row>
    <row r="426" spans="1:15" ht="12.75">
      <c r="A426" s="1"/>
      <c r="D426" s="8" t="s">
        <v>583</v>
      </c>
      <c r="E426" s="9" t="s">
        <v>792</v>
      </c>
      <c r="G426" s="12">
        <v>68.4</v>
      </c>
      <c r="N426" s="16"/>
      <c r="O426" s="1"/>
    </row>
    <row r="427" spans="1:15" ht="12.75">
      <c r="A427" s="1"/>
      <c r="D427" s="8" t="s">
        <v>597</v>
      </c>
      <c r="E427" s="9" t="s">
        <v>818</v>
      </c>
      <c r="G427" s="12">
        <v>7.1</v>
      </c>
      <c r="N427" s="16"/>
      <c r="O427" s="1"/>
    </row>
    <row r="428" spans="1:64" ht="12.75">
      <c r="A428" s="60" t="s">
        <v>89</v>
      </c>
      <c r="B428" s="5"/>
      <c r="C428" s="5" t="s">
        <v>258</v>
      </c>
      <c r="D428" s="176" t="s">
        <v>598</v>
      </c>
      <c r="E428" s="177"/>
      <c r="F428" s="5" t="s">
        <v>886</v>
      </c>
      <c r="G428" s="11">
        <v>12</v>
      </c>
      <c r="H428" s="103"/>
      <c r="I428" s="11">
        <f>G428*AO428</f>
        <v>0</v>
      </c>
      <c r="J428" s="11">
        <f>G428*AP428</f>
        <v>0</v>
      </c>
      <c r="K428" s="11">
        <f>G428*H428</f>
        <v>0</v>
      </c>
      <c r="L428" s="11">
        <v>0.00406</v>
      </c>
      <c r="M428" s="11">
        <f>G428*L428</f>
        <v>0.04872</v>
      </c>
      <c r="N428" s="15" t="s">
        <v>912</v>
      </c>
      <c r="O428" s="1"/>
      <c r="Z428" s="20">
        <f>IF(AQ428="5",BJ428,0)</f>
        <v>0</v>
      </c>
      <c r="AB428" s="20">
        <f>IF(AQ428="1",BH428,0)</f>
        <v>0</v>
      </c>
      <c r="AC428" s="20">
        <f>IF(AQ428="1",BI428,0)</f>
        <v>0</v>
      </c>
      <c r="AD428" s="20">
        <f>IF(AQ428="7",BH428,0)</f>
        <v>0</v>
      </c>
      <c r="AE428" s="20">
        <f>IF(AQ428="7",BI428,0)</f>
        <v>0</v>
      </c>
      <c r="AF428" s="20">
        <f>IF(AQ428="2",BH428,0)</f>
        <v>0</v>
      </c>
      <c r="AG428" s="20">
        <f>IF(AQ428="2",BI428,0)</f>
        <v>0</v>
      </c>
      <c r="AH428" s="20">
        <f>IF(AQ428="0",BJ428,0)</f>
        <v>0</v>
      </c>
      <c r="AI428" s="14"/>
      <c r="AJ428" s="11">
        <f>IF(AN428=0,K428,0)</f>
        <v>0</v>
      </c>
      <c r="AK428" s="11">
        <f>IF(AN428=15,K428,0)</f>
        <v>0</v>
      </c>
      <c r="AL428" s="11">
        <f>IF(AN428=21,K428,0)</f>
        <v>0</v>
      </c>
      <c r="AN428" s="20">
        <v>21</v>
      </c>
      <c r="AO428" s="20">
        <f>H428*0.571665433012583</f>
        <v>0</v>
      </c>
      <c r="AP428" s="20">
        <f>H428*(1-0.571665433012583)</f>
        <v>0</v>
      </c>
      <c r="AQ428" s="21" t="s">
        <v>13</v>
      </c>
      <c r="AV428" s="20">
        <f>AW428+AX428</f>
        <v>0</v>
      </c>
      <c r="AW428" s="20">
        <f>G428*AO428</f>
        <v>0</v>
      </c>
      <c r="AX428" s="20">
        <f>G428*AP428</f>
        <v>0</v>
      </c>
      <c r="AY428" s="23" t="s">
        <v>940</v>
      </c>
      <c r="AZ428" s="23" t="s">
        <v>970</v>
      </c>
      <c r="BA428" s="14" t="s">
        <v>976</v>
      </c>
      <c r="BC428" s="20">
        <f>AW428+AX428</f>
        <v>0</v>
      </c>
      <c r="BD428" s="20">
        <f>H428/(100-BE428)*100</f>
        <v>0</v>
      </c>
      <c r="BE428" s="20">
        <v>0</v>
      </c>
      <c r="BF428" s="20">
        <f>M428</f>
        <v>0.04872</v>
      </c>
      <c r="BH428" s="11">
        <f>G428*AO428</f>
        <v>0</v>
      </c>
      <c r="BI428" s="11">
        <f>G428*AP428</f>
        <v>0</v>
      </c>
      <c r="BJ428" s="11">
        <f>G428*H428</f>
        <v>0</v>
      </c>
      <c r="BK428" s="11" t="s">
        <v>981</v>
      </c>
      <c r="BL428" s="20">
        <v>764</v>
      </c>
    </row>
    <row r="429" spans="1:15" ht="12.75">
      <c r="A429" s="1"/>
      <c r="D429" s="8" t="s">
        <v>11</v>
      </c>
      <c r="E429" s="9" t="s">
        <v>791</v>
      </c>
      <c r="G429" s="12">
        <v>5</v>
      </c>
      <c r="N429" s="16"/>
      <c r="O429" s="1"/>
    </row>
    <row r="430" spans="1:15" ht="12.75">
      <c r="A430" s="1"/>
      <c r="D430" s="8" t="s">
        <v>11</v>
      </c>
      <c r="E430" s="9" t="s">
        <v>792</v>
      </c>
      <c r="G430" s="12">
        <v>5</v>
      </c>
      <c r="N430" s="16"/>
      <c r="O430" s="1"/>
    </row>
    <row r="431" spans="1:15" ht="12.75">
      <c r="A431" s="1"/>
      <c r="D431" s="8" t="s">
        <v>8</v>
      </c>
      <c r="E431" s="9" t="s">
        <v>818</v>
      </c>
      <c r="G431" s="12">
        <v>2</v>
      </c>
      <c r="N431" s="16"/>
      <c r="O431" s="1"/>
    </row>
    <row r="432" spans="1:64" ht="12.75">
      <c r="A432" s="60" t="s">
        <v>90</v>
      </c>
      <c r="B432" s="5"/>
      <c r="C432" s="5" t="s">
        <v>259</v>
      </c>
      <c r="D432" s="176" t="s">
        <v>599</v>
      </c>
      <c r="E432" s="177"/>
      <c r="F432" s="5" t="s">
        <v>886</v>
      </c>
      <c r="G432" s="11">
        <v>10</v>
      </c>
      <c r="H432" s="103"/>
      <c r="I432" s="11">
        <f>G432*AO432</f>
        <v>0</v>
      </c>
      <c r="J432" s="11">
        <f>G432*AP432</f>
        <v>0</v>
      </c>
      <c r="K432" s="11">
        <f>G432*H432</f>
        <v>0</v>
      </c>
      <c r="L432" s="11">
        <v>0.00818</v>
      </c>
      <c r="M432" s="11">
        <f>G432*L432</f>
        <v>0.0818</v>
      </c>
      <c r="N432" s="15" t="s">
        <v>913</v>
      </c>
      <c r="O432" s="1"/>
      <c r="Z432" s="20">
        <f>IF(AQ432="5",BJ432,0)</f>
        <v>0</v>
      </c>
      <c r="AB432" s="20">
        <f>IF(AQ432="1",BH432,0)</f>
        <v>0</v>
      </c>
      <c r="AC432" s="20">
        <f>IF(AQ432="1",BI432,0)</f>
        <v>0</v>
      </c>
      <c r="AD432" s="20">
        <f>IF(AQ432="7",BH432,0)</f>
        <v>0</v>
      </c>
      <c r="AE432" s="20">
        <f>IF(AQ432="7",BI432,0)</f>
        <v>0</v>
      </c>
      <c r="AF432" s="20">
        <f>IF(AQ432="2",BH432,0)</f>
        <v>0</v>
      </c>
      <c r="AG432" s="20">
        <f>IF(AQ432="2",BI432,0)</f>
        <v>0</v>
      </c>
      <c r="AH432" s="20">
        <f>IF(AQ432="0",BJ432,0)</f>
        <v>0</v>
      </c>
      <c r="AI432" s="14"/>
      <c r="AJ432" s="11">
        <f>IF(AN432=0,K432,0)</f>
        <v>0</v>
      </c>
      <c r="AK432" s="11">
        <f>IF(AN432=15,K432,0)</f>
        <v>0</v>
      </c>
      <c r="AL432" s="11">
        <f>IF(AN432=21,K432,0)</f>
        <v>0</v>
      </c>
      <c r="AN432" s="20">
        <v>21</v>
      </c>
      <c r="AO432" s="20">
        <f>H432*0.603655054254712</f>
        <v>0</v>
      </c>
      <c r="AP432" s="20">
        <f>H432*(1-0.603655054254712)</f>
        <v>0</v>
      </c>
      <c r="AQ432" s="21" t="s">
        <v>13</v>
      </c>
      <c r="AV432" s="20">
        <f>AW432+AX432</f>
        <v>0</v>
      </c>
      <c r="AW432" s="20">
        <f>G432*AO432</f>
        <v>0</v>
      </c>
      <c r="AX432" s="20">
        <f>G432*AP432</f>
        <v>0</v>
      </c>
      <c r="AY432" s="23" t="s">
        <v>940</v>
      </c>
      <c r="AZ432" s="23" t="s">
        <v>970</v>
      </c>
      <c r="BA432" s="14" t="s">
        <v>976</v>
      </c>
      <c r="BC432" s="20">
        <f>AW432+AX432</f>
        <v>0</v>
      </c>
      <c r="BD432" s="20">
        <f>H432/(100-BE432)*100</f>
        <v>0</v>
      </c>
      <c r="BE432" s="20">
        <v>0</v>
      </c>
      <c r="BF432" s="20">
        <f>M432</f>
        <v>0.0818</v>
      </c>
      <c r="BH432" s="11">
        <f>G432*AO432</f>
        <v>0</v>
      </c>
      <c r="BI432" s="11">
        <f>G432*AP432</f>
        <v>0</v>
      </c>
      <c r="BJ432" s="11">
        <f>G432*H432</f>
        <v>0</v>
      </c>
      <c r="BK432" s="11" t="s">
        <v>981</v>
      </c>
      <c r="BL432" s="20">
        <v>764</v>
      </c>
    </row>
    <row r="433" spans="1:15" ht="12.75">
      <c r="A433" s="1"/>
      <c r="D433" s="8" t="s">
        <v>11</v>
      </c>
      <c r="E433" s="9" t="s">
        <v>791</v>
      </c>
      <c r="G433" s="12">
        <v>5</v>
      </c>
      <c r="N433" s="16"/>
      <c r="O433" s="1"/>
    </row>
    <row r="434" spans="1:15" ht="12.75">
      <c r="A434" s="1"/>
      <c r="D434" s="8" t="s">
        <v>11</v>
      </c>
      <c r="E434" s="9" t="s">
        <v>792</v>
      </c>
      <c r="G434" s="12">
        <v>5</v>
      </c>
      <c r="N434" s="16"/>
      <c r="O434" s="1"/>
    </row>
    <row r="435" spans="1:64" ht="12.75">
      <c r="A435" s="60" t="s">
        <v>91</v>
      </c>
      <c r="B435" s="5"/>
      <c r="C435" s="5" t="s">
        <v>260</v>
      </c>
      <c r="D435" s="176" t="s">
        <v>600</v>
      </c>
      <c r="E435" s="177"/>
      <c r="F435" s="5" t="s">
        <v>883</v>
      </c>
      <c r="G435" s="11">
        <v>46.64</v>
      </c>
      <c r="H435" s="103"/>
      <c r="I435" s="11">
        <f>G435*AO435</f>
        <v>0</v>
      </c>
      <c r="J435" s="11">
        <f>G435*AP435</f>
        <v>0</v>
      </c>
      <c r="K435" s="11">
        <f>G435*H435</f>
        <v>0</v>
      </c>
      <c r="L435" s="11">
        <v>0.003</v>
      </c>
      <c r="M435" s="11">
        <f>G435*L435</f>
        <v>0.13992000000000002</v>
      </c>
      <c r="N435" s="15" t="s">
        <v>912</v>
      </c>
      <c r="O435" s="1"/>
      <c r="Z435" s="20">
        <f>IF(AQ435="5",BJ435,0)</f>
        <v>0</v>
      </c>
      <c r="AB435" s="20">
        <f>IF(AQ435="1",BH435,0)</f>
        <v>0</v>
      </c>
      <c r="AC435" s="20">
        <f>IF(AQ435="1",BI435,0)</f>
        <v>0</v>
      </c>
      <c r="AD435" s="20">
        <f>IF(AQ435="7",BH435,0)</f>
        <v>0</v>
      </c>
      <c r="AE435" s="20">
        <f>IF(AQ435="7",BI435,0)</f>
        <v>0</v>
      </c>
      <c r="AF435" s="20">
        <f>IF(AQ435="2",BH435,0)</f>
        <v>0</v>
      </c>
      <c r="AG435" s="20">
        <f>IF(AQ435="2",BI435,0)</f>
        <v>0</v>
      </c>
      <c r="AH435" s="20">
        <f>IF(AQ435="0",BJ435,0)</f>
        <v>0</v>
      </c>
      <c r="AI435" s="14"/>
      <c r="AJ435" s="11">
        <f>IF(AN435=0,K435,0)</f>
        <v>0</v>
      </c>
      <c r="AK435" s="11">
        <f>IF(AN435=15,K435,0)</f>
        <v>0</v>
      </c>
      <c r="AL435" s="11">
        <f>IF(AN435=21,K435,0)</f>
        <v>0</v>
      </c>
      <c r="AN435" s="20">
        <v>21</v>
      </c>
      <c r="AO435" s="20">
        <f>H435*0.608938053097345</f>
        <v>0</v>
      </c>
      <c r="AP435" s="20">
        <f>H435*(1-0.608938053097345)</f>
        <v>0</v>
      </c>
      <c r="AQ435" s="21" t="s">
        <v>13</v>
      </c>
      <c r="AV435" s="20">
        <f>AW435+AX435</f>
        <v>0</v>
      </c>
      <c r="AW435" s="20">
        <f>G435*AO435</f>
        <v>0</v>
      </c>
      <c r="AX435" s="20">
        <f>G435*AP435</f>
        <v>0</v>
      </c>
      <c r="AY435" s="23" t="s">
        <v>940</v>
      </c>
      <c r="AZ435" s="23" t="s">
        <v>970</v>
      </c>
      <c r="BA435" s="14" t="s">
        <v>976</v>
      </c>
      <c r="BC435" s="20">
        <f>AW435+AX435</f>
        <v>0</v>
      </c>
      <c r="BD435" s="20">
        <f>H435/(100-BE435)*100</f>
        <v>0</v>
      </c>
      <c r="BE435" s="20">
        <v>0</v>
      </c>
      <c r="BF435" s="20">
        <f>M435</f>
        <v>0.13992000000000002</v>
      </c>
      <c r="BH435" s="11">
        <f>G435*AO435</f>
        <v>0</v>
      </c>
      <c r="BI435" s="11">
        <f>G435*AP435</f>
        <v>0</v>
      </c>
      <c r="BJ435" s="11">
        <f>G435*H435</f>
        <v>0</v>
      </c>
      <c r="BK435" s="11" t="s">
        <v>981</v>
      </c>
      <c r="BL435" s="20">
        <v>764</v>
      </c>
    </row>
    <row r="436" spans="1:15" ht="12.75">
      <c r="A436" s="1"/>
      <c r="D436" s="8" t="s">
        <v>577</v>
      </c>
      <c r="E436" s="9" t="s">
        <v>791</v>
      </c>
      <c r="G436" s="12">
        <v>23.32</v>
      </c>
      <c r="N436" s="16"/>
      <c r="O436" s="1"/>
    </row>
    <row r="437" spans="1:15" ht="12.75">
      <c r="A437" s="1"/>
      <c r="D437" s="8" t="s">
        <v>577</v>
      </c>
      <c r="E437" s="9" t="s">
        <v>792</v>
      </c>
      <c r="G437" s="12">
        <v>23.32</v>
      </c>
      <c r="N437" s="16"/>
      <c r="O437" s="1"/>
    </row>
    <row r="438" spans="1:64" ht="12.75">
      <c r="A438" s="60" t="s">
        <v>92</v>
      </c>
      <c r="B438" s="5"/>
      <c r="C438" s="5" t="s">
        <v>261</v>
      </c>
      <c r="D438" s="176" t="s">
        <v>601</v>
      </c>
      <c r="E438" s="177"/>
      <c r="F438" s="5" t="s">
        <v>883</v>
      </c>
      <c r="G438" s="11">
        <v>59.68</v>
      </c>
      <c r="H438" s="103"/>
      <c r="I438" s="11">
        <f>G438*AO438</f>
        <v>0</v>
      </c>
      <c r="J438" s="11">
        <f>G438*AP438</f>
        <v>0</v>
      </c>
      <c r="K438" s="11">
        <f>G438*H438</f>
        <v>0</v>
      </c>
      <c r="L438" s="11">
        <v>0.00378</v>
      </c>
      <c r="M438" s="11">
        <f>G438*L438</f>
        <v>0.2255904</v>
      </c>
      <c r="N438" s="15" t="s">
        <v>912</v>
      </c>
      <c r="O438" s="1"/>
      <c r="Z438" s="20">
        <f>IF(AQ438="5",BJ438,0)</f>
        <v>0</v>
      </c>
      <c r="AB438" s="20">
        <f>IF(AQ438="1",BH438,0)</f>
        <v>0</v>
      </c>
      <c r="AC438" s="20">
        <f>IF(AQ438="1",BI438,0)</f>
        <v>0</v>
      </c>
      <c r="AD438" s="20">
        <f>IF(AQ438="7",BH438,0)</f>
        <v>0</v>
      </c>
      <c r="AE438" s="20">
        <f>IF(AQ438="7",BI438,0)</f>
        <v>0</v>
      </c>
      <c r="AF438" s="20">
        <f>IF(AQ438="2",BH438,0)</f>
        <v>0</v>
      </c>
      <c r="AG438" s="20">
        <f>IF(AQ438="2",BI438,0)</f>
        <v>0</v>
      </c>
      <c r="AH438" s="20">
        <f>IF(AQ438="0",BJ438,0)</f>
        <v>0</v>
      </c>
      <c r="AI438" s="14"/>
      <c r="AJ438" s="11">
        <f>IF(AN438=0,K438,0)</f>
        <v>0</v>
      </c>
      <c r="AK438" s="11">
        <f>IF(AN438=15,K438,0)</f>
        <v>0</v>
      </c>
      <c r="AL438" s="11">
        <f>IF(AN438=21,K438,0)</f>
        <v>0</v>
      </c>
      <c r="AN438" s="20">
        <v>21</v>
      </c>
      <c r="AO438" s="20">
        <f>H438*0.615409638554217</f>
        <v>0</v>
      </c>
      <c r="AP438" s="20">
        <f>H438*(1-0.615409638554217)</f>
        <v>0</v>
      </c>
      <c r="AQ438" s="21" t="s">
        <v>13</v>
      </c>
      <c r="AV438" s="20">
        <f>AW438+AX438</f>
        <v>0</v>
      </c>
      <c r="AW438" s="20">
        <f>G438*AO438</f>
        <v>0</v>
      </c>
      <c r="AX438" s="20">
        <f>G438*AP438</f>
        <v>0</v>
      </c>
      <c r="AY438" s="23" t="s">
        <v>940</v>
      </c>
      <c r="AZ438" s="23" t="s">
        <v>970</v>
      </c>
      <c r="BA438" s="14" t="s">
        <v>976</v>
      </c>
      <c r="BC438" s="20">
        <f>AW438+AX438</f>
        <v>0</v>
      </c>
      <c r="BD438" s="20">
        <f>H438/(100-BE438)*100</f>
        <v>0</v>
      </c>
      <c r="BE438" s="20">
        <v>0</v>
      </c>
      <c r="BF438" s="20">
        <f>M438</f>
        <v>0.2255904</v>
      </c>
      <c r="BH438" s="11">
        <f>G438*AO438</f>
        <v>0</v>
      </c>
      <c r="BI438" s="11">
        <f>G438*AP438</f>
        <v>0</v>
      </c>
      <c r="BJ438" s="11">
        <f>G438*H438</f>
        <v>0</v>
      </c>
      <c r="BK438" s="11" t="s">
        <v>981</v>
      </c>
      <c r="BL438" s="20">
        <v>764</v>
      </c>
    </row>
    <row r="439" spans="1:15" ht="12.75">
      <c r="A439" s="1"/>
      <c r="D439" s="8" t="s">
        <v>591</v>
      </c>
      <c r="E439" s="9" t="s">
        <v>791</v>
      </c>
      <c r="G439" s="12">
        <v>29.84</v>
      </c>
      <c r="N439" s="16"/>
      <c r="O439" s="1"/>
    </row>
    <row r="440" spans="1:15" ht="12.75">
      <c r="A440" s="1"/>
      <c r="D440" s="8" t="s">
        <v>591</v>
      </c>
      <c r="E440" s="9" t="s">
        <v>792</v>
      </c>
      <c r="G440" s="12">
        <v>29.84</v>
      </c>
      <c r="N440" s="16"/>
      <c r="O440" s="1"/>
    </row>
    <row r="441" spans="1:64" ht="12.75">
      <c r="A441" s="60" t="s">
        <v>93</v>
      </c>
      <c r="B441" s="5"/>
      <c r="C441" s="5" t="s">
        <v>262</v>
      </c>
      <c r="D441" s="176" t="s">
        <v>602</v>
      </c>
      <c r="E441" s="177"/>
      <c r="F441" s="5" t="s">
        <v>883</v>
      </c>
      <c r="G441" s="11">
        <v>156.16</v>
      </c>
      <c r="H441" s="103"/>
      <c r="I441" s="11">
        <f>G441*AO441</f>
        <v>0</v>
      </c>
      <c r="J441" s="11">
        <f>G441*AP441</f>
        <v>0</v>
      </c>
      <c r="K441" s="11">
        <f>G441*H441</f>
        <v>0</v>
      </c>
      <c r="L441" s="11">
        <v>0.00535</v>
      </c>
      <c r="M441" s="11">
        <f>G441*L441</f>
        <v>0.835456</v>
      </c>
      <c r="N441" s="15" t="s">
        <v>913</v>
      </c>
      <c r="O441" s="1"/>
      <c r="Z441" s="20">
        <f>IF(AQ441="5",BJ441,0)</f>
        <v>0</v>
      </c>
      <c r="AB441" s="20">
        <f>IF(AQ441="1",BH441,0)</f>
        <v>0</v>
      </c>
      <c r="AC441" s="20">
        <f>IF(AQ441="1",BI441,0)</f>
        <v>0</v>
      </c>
      <c r="AD441" s="20">
        <f>IF(AQ441="7",BH441,0)</f>
        <v>0</v>
      </c>
      <c r="AE441" s="20">
        <f>IF(AQ441="7",BI441,0)</f>
        <v>0</v>
      </c>
      <c r="AF441" s="20">
        <f>IF(AQ441="2",BH441,0)</f>
        <v>0</v>
      </c>
      <c r="AG441" s="20">
        <f>IF(AQ441="2",BI441,0)</f>
        <v>0</v>
      </c>
      <c r="AH441" s="20">
        <f>IF(AQ441="0",BJ441,0)</f>
        <v>0</v>
      </c>
      <c r="AI441" s="14"/>
      <c r="AJ441" s="11">
        <f>IF(AN441=0,K441,0)</f>
        <v>0</v>
      </c>
      <c r="AK441" s="11">
        <f>IF(AN441=15,K441,0)</f>
        <v>0</v>
      </c>
      <c r="AL441" s="11">
        <f>IF(AN441=21,K441,0)</f>
        <v>0</v>
      </c>
      <c r="AN441" s="20">
        <v>21</v>
      </c>
      <c r="AO441" s="20">
        <f>H441*0.480350640593392</f>
        <v>0</v>
      </c>
      <c r="AP441" s="20">
        <f>H441*(1-0.480350640593392)</f>
        <v>0</v>
      </c>
      <c r="AQ441" s="21" t="s">
        <v>13</v>
      </c>
      <c r="AV441" s="20">
        <f>AW441+AX441</f>
        <v>0</v>
      </c>
      <c r="AW441" s="20">
        <f>G441*AO441</f>
        <v>0</v>
      </c>
      <c r="AX441" s="20">
        <f>G441*AP441</f>
        <v>0</v>
      </c>
      <c r="AY441" s="23" t="s">
        <v>940</v>
      </c>
      <c r="AZ441" s="23" t="s">
        <v>970</v>
      </c>
      <c r="BA441" s="14" t="s">
        <v>976</v>
      </c>
      <c r="BC441" s="20">
        <f>AW441+AX441</f>
        <v>0</v>
      </c>
      <c r="BD441" s="20">
        <f>H441/(100-BE441)*100</f>
        <v>0</v>
      </c>
      <c r="BE441" s="20">
        <v>0</v>
      </c>
      <c r="BF441" s="20">
        <f>M441</f>
        <v>0.835456</v>
      </c>
      <c r="BH441" s="11">
        <f>G441*AO441</f>
        <v>0</v>
      </c>
      <c r="BI441" s="11">
        <f>G441*AP441</f>
        <v>0</v>
      </c>
      <c r="BJ441" s="11">
        <f>G441*H441</f>
        <v>0</v>
      </c>
      <c r="BK441" s="11" t="s">
        <v>981</v>
      </c>
      <c r="BL441" s="20">
        <v>764</v>
      </c>
    </row>
    <row r="442" spans="1:15" ht="12.75">
      <c r="A442" s="1"/>
      <c r="D442" s="8" t="s">
        <v>587</v>
      </c>
      <c r="E442" s="9" t="s">
        <v>816</v>
      </c>
      <c r="G442" s="12">
        <v>52.93</v>
      </c>
      <c r="N442" s="16"/>
      <c r="O442" s="1"/>
    </row>
    <row r="443" spans="1:15" ht="12.75">
      <c r="A443" s="1"/>
      <c r="D443" s="8" t="s">
        <v>588</v>
      </c>
      <c r="E443" s="9" t="s">
        <v>817</v>
      </c>
      <c r="G443" s="12">
        <v>14.03</v>
      </c>
      <c r="N443" s="16"/>
      <c r="O443" s="1"/>
    </row>
    <row r="444" spans="1:15" ht="12.75">
      <c r="A444" s="1"/>
      <c r="D444" s="8" t="s">
        <v>587</v>
      </c>
      <c r="E444" s="9" t="s">
        <v>819</v>
      </c>
      <c r="G444" s="12">
        <v>52.93</v>
      </c>
      <c r="N444" s="16"/>
      <c r="O444" s="1"/>
    </row>
    <row r="445" spans="1:15" ht="12.75">
      <c r="A445" s="1"/>
      <c r="D445" s="8" t="s">
        <v>588</v>
      </c>
      <c r="E445" s="9" t="s">
        <v>833</v>
      </c>
      <c r="G445" s="12">
        <v>14.03</v>
      </c>
      <c r="N445" s="16"/>
      <c r="O445" s="1"/>
    </row>
    <row r="446" spans="1:15" ht="12.75">
      <c r="A446" s="1"/>
      <c r="D446" s="8" t="s">
        <v>589</v>
      </c>
      <c r="E446" s="9" t="s">
        <v>818</v>
      </c>
      <c r="G446" s="12">
        <v>22.24</v>
      </c>
      <c r="N446" s="16"/>
      <c r="O446" s="1"/>
    </row>
    <row r="447" spans="1:64" ht="12.75">
      <c r="A447" s="60" t="s">
        <v>94</v>
      </c>
      <c r="B447" s="5"/>
      <c r="C447" s="5" t="s">
        <v>263</v>
      </c>
      <c r="D447" s="176" t="s">
        <v>603</v>
      </c>
      <c r="E447" s="177"/>
      <c r="F447" s="5" t="s">
        <v>883</v>
      </c>
      <c r="G447" s="11">
        <v>103.5</v>
      </c>
      <c r="H447" s="103"/>
      <c r="I447" s="11">
        <f>G447*AO447</f>
        <v>0</v>
      </c>
      <c r="J447" s="11">
        <f>G447*AP447</f>
        <v>0</v>
      </c>
      <c r="K447" s="11">
        <f>G447*H447</f>
        <v>0</v>
      </c>
      <c r="L447" s="11">
        <v>0.00479</v>
      </c>
      <c r="M447" s="11">
        <f>G447*L447</f>
        <v>0.495765</v>
      </c>
      <c r="N447" s="15" t="s">
        <v>912</v>
      </c>
      <c r="O447" s="1"/>
      <c r="Z447" s="20">
        <f>IF(AQ447="5",BJ447,0)</f>
        <v>0</v>
      </c>
      <c r="AB447" s="20">
        <f>IF(AQ447="1",BH447,0)</f>
        <v>0</v>
      </c>
      <c r="AC447" s="20">
        <f>IF(AQ447="1",BI447,0)</f>
        <v>0</v>
      </c>
      <c r="AD447" s="20">
        <f>IF(AQ447="7",BH447,0)</f>
        <v>0</v>
      </c>
      <c r="AE447" s="20">
        <f>IF(AQ447="7",BI447,0)</f>
        <v>0</v>
      </c>
      <c r="AF447" s="20">
        <f>IF(AQ447="2",BH447,0)</f>
        <v>0</v>
      </c>
      <c r="AG447" s="20">
        <f>IF(AQ447="2",BI447,0)</f>
        <v>0</v>
      </c>
      <c r="AH447" s="20">
        <f>IF(AQ447="0",BJ447,0)</f>
        <v>0</v>
      </c>
      <c r="AI447" s="14"/>
      <c r="AJ447" s="11">
        <f>IF(AN447=0,K447,0)</f>
        <v>0</v>
      </c>
      <c r="AK447" s="11">
        <f>IF(AN447=15,K447,0)</f>
        <v>0</v>
      </c>
      <c r="AL447" s="11">
        <f>IF(AN447=21,K447,0)</f>
        <v>0</v>
      </c>
      <c r="AN447" s="20">
        <v>21</v>
      </c>
      <c r="AO447" s="20">
        <f>H447*0.889618369987063</f>
        <v>0</v>
      </c>
      <c r="AP447" s="20">
        <f>H447*(1-0.889618369987063)</f>
        <v>0</v>
      </c>
      <c r="AQ447" s="21" t="s">
        <v>13</v>
      </c>
      <c r="AV447" s="20">
        <f>AW447+AX447</f>
        <v>0</v>
      </c>
      <c r="AW447" s="20">
        <f>G447*AO447</f>
        <v>0</v>
      </c>
      <c r="AX447" s="20">
        <f>G447*AP447</f>
        <v>0</v>
      </c>
      <c r="AY447" s="23" t="s">
        <v>940</v>
      </c>
      <c r="AZ447" s="23" t="s">
        <v>970</v>
      </c>
      <c r="BA447" s="14" t="s">
        <v>976</v>
      </c>
      <c r="BC447" s="20">
        <f>AW447+AX447</f>
        <v>0</v>
      </c>
      <c r="BD447" s="20">
        <f>H447/(100-BE447)*100</f>
        <v>0</v>
      </c>
      <c r="BE447" s="20">
        <v>0</v>
      </c>
      <c r="BF447" s="20">
        <f>M447</f>
        <v>0.495765</v>
      </c>
      <c r="BH447" s="11">
        <f>G447*AO447</f>
        <v>0</v>
      </c>
      <c r="BI447" s="11">
        <f>G447*AP447</f>
        <v>0</v>
      </c>
      <c r="BJ447" s="11">
        <f>G447*H447</f>
        <v>0</v>
      </c>
      <c r="BK447" s="11" t="s">
        <v>981</v>
      </c>
      <c r="BL447" s="20">
        <v>764</v>
      </c>
    </row>
    <row r="448" spans="1:15" ht="12.75">
      <c r="A448" s="1"/>
      <c r="D448" s="8" t="s">
        <v>604</v>
      </c>
      <c r="E448" s="9" t="s">
        <v>843</v>
      </c>
      <c r="G448" s="12">
        <v>10.8</v>
      </c>
      <c r="N448" s="16"/>
      <c r="O448" s="1"/>
    </row>
    <row r="449" spans="1:15" ht="12.75">
      <c r="A449" s="1"/>
      <c r="D449" s="8" t="s">
        <v>605</v>
      </c>
      <c r="E449" s="9" t="s">
        <v>844</v>
      </c>
      <c r="G449" s="12">
        <v>6</v>
      </c>
      <c r="N449" s="16"/>
      <c r="O449" s="1"/>
    </row>
    <row r="450" spans="1:15" ht="12.75">
      <c r="A450" s="1"/>
      <c r="D450" s="8" t="s">
        <v>606</v>
      </c>
      <c r="E450" s="9" t="s">
        <v>845</v>
      </c>
      <c r="G450" s="12">
        <v>19.8</v>
      </c>
      <c r="N450" s="16"/>
      <c r="O450" s="1"/>
    </row>
    <row r="451" spans="1:15" ht="12.75">
      <c r="A451" s="1"/>
      <c r="D451" s="8" t="s">
        <v>607</v>
      </c>
      <c r="E451" s="9" t="s">
        <v>846</v>
      </c>
      <c r="G451" s="12">
        <v>33.6</v>
      </c>
      <c r="N451" s="16"/>
      <c r="O451" s="1"/>
    </row>
    <row r="452" spans="1:15" ht="12.75">
      <c r="A452" s="1"/>
      <c r="D452" s="8" t="s">
        <v>608</v>
      </c>
      <c r="E452" s="9" t="s">
        <v>847</v>
      </c>
      <c r="G452" s="12">
        <v>9.6</v>
      </c>
      <c r="N452" s="16"/>
      <c r="O452" s="1"/>
    </row>
    <row r="453" spans="1:15" ht="12.75">
      <c r="A453" s="1"/>
      <c r="D453" s="8" t="s">
        <v>609</v>
      </c>
      <c r="E453" s="9" t="s">
        <v>848</v>
      </c>
      <c r="G453" s="12">
        <v>1.5</v>
      </c>
      <c r="N453" s="16"/>
      <c r="O453" s="1"/>
    </row>
    <row r="454" spans="1:15" ht="12.75">
      <c r="A454" s="1"/>
      <c r="D454" s="8" t="s">
        <v>610</v>
      </c>
      <c r="E454" s="9" t="s">
        <v>849</v>
      </c>
      <c r="G454" s="12">
        <v>9.2</v>
      </c>
      <c r="N454" s="16"/>
      <c r="O454" s="1"/>
    </row>
    <row r="455" spans="1:15" ht="12.75">
      <c r="A455" s="1"/>
      <c r="D455" s="8" t="s">
        <v>611</v>
      </c>
      <c r="E455" s="9" t="s">
        <v>850</v>
      </c>
      <c r="G455" s="12">
        <v>4</v>
      </c>
      <c r="N455" s="16"/>
      <c r="O455" s="1"/>
    </row>
    <row r="456" spans="1:15" ht="12.75">
      <c r="A456" s="1"/>
      <c r="D456" s="8" t="s">
        <v>612</v>
      </c>
      <c r="E456" s="9" t="s">
        <v>851</v>
      </c>
      <c r="G456" s="12">
        <v>9</v>
      </c>
      <c r="N456" s="16"/>
      <c r="O456" s="1"/>
    </row>
    <row r="457" spans="1:64" ht="12.75">
      <c r="A457" s="60" t="s">
        <v>95</v>
      </c>
      <c r="B457" s="5"/>
      <c r="C457" s="5" t="s">
        <v>264</v>
      </c>
      <c r="D457" s="176" t="s">
        <v>613</v>
      </c>
      <c r="E457" s="177"/>
      <c r="F457" s="5" t="s">
        <v>889</v>
      </c>
      <c r="G457" s="11">
        <v>65</v>
      </c>
      <c r="H457" s="103"/>
      <c r="I457" s="11">
        <f>G457*AO457</f>
        <v>0</v>
      </c>
      <c r="J457" s="11">
        <f>G457*AP457</f>
        <v>0</v>
      </c>
      <c r="K457" s="11">
        <f>G457*H457</f>
        <v>0</v>
      </c>
      <c r="L457" s="11">
        <v>0</v>
      </c>
      <c r="M457" s="11">
        <f>G457*L457</f>
        <v>0</v>
      </c>
      <c r="N457" s="15" t="s">
        <v>912</v>
      </c>
      <c r="O457" s="1"/>
      <c r="Z457" s="20">
        <f>IF(AQ457="5",BJ457,0)</f>
        <v>0</v>
      </c>
      <c r="AB457" s="20">
        <f>IF(AQ457="1",BH457,0)</f>
        <v>0</v>
      </c>
      <c r="AC457" s="20">
        <f>IF(AQ457="1",BI457,0)</f>
        <v>0</v>
      </c>
      <c r="AD457" s="20">
        <f>IF(AQ457="7",BH457,0)</f>
        <v>0</v>
      </c>
      <c r="AE457" s="20">
        <f>IF(AQ457="7",BI457,0)</f>
        <v>0</v>
      </c>
      <c r="AF457" s="20">
        <f>IF(AQ457="2",BH457,0)</f>
        <v>0</v>
      </c>
      <c r="AG457" s="20">
        <f>IF(AQ457="2",BI457,0)</f>
        <v>0</v>
      </c>
      <c r="AH457" s="20">
        <f>IF(AQ457="0",BJ457,0)</f>
        <v>0</v>
      </c>
      <c r="AI457" s="14"/>
      <c r="AJ457" s="11">
        <f>IF(AN457=0,K457,0)</f>
        <v>0</v>
      </c>
      <c r="AK457" s="11">
        <f>IF(AN457=15,K457,0)</f>
        <v>0</v>
      </c>
      <c r="AL457" s="11">
        <f>IF(AN457=21,K457,0)</f>
        <v>0</v>
      </c>
      <c r="AN457" s="20">
        <v>21</v>
      </c>
      <c r="AO457" s="20">
        <f>H457*0.981026438569207</f>
        <v>0</v>
      </c>
      <c r="AP457" s="20">
        <f>H457*(1-0.981026438569207)</f>
        <v>0</v>
      </c>
      <c r="AQ457" s="21" t="s">
        <v>13</v>
      </c>
      <c r="AV457" s="20">
        <f>AW457+AX457</f>
        <v>0</v>
      </c>
      <c r="AW457" s="20">
        <f>G457*AO457</f>
        <v>0</v>
      </c>
      <c r="AX457" s="20">
        <f>G457*AP457</f>
        <v>0</v>
      </c>
      <c r="AY457" s="23" t="s">
        <v>940</v>
      </c>
      <c r="AZ457" s="23" t="s">
        <v>970</v>
      </c>
      <c r="BA457" s="14" t="s">
        <v>976</v>
      </c>
      <c r="BC457" s="20">
        <f>AW457+AX457</f>
        <v>0</v>
      </c>
      <c r="BD457" s="20">
        <f>H457/(100-BE457)*100</f>
        <v>0</v>
      </c>
      <c r="BE457" s="20">
        <v>0</v>
      </c>
      <c r="BF457" s="20">
        <f>M457</f>
        <v>0</v>
      </c>
      <c r="BH457" s="11">
        <f>G457*AO457</f>
        <v>0</v>
      </c>
      <c r="BI457" s="11">
        <f>G457*AP457</f>
        <v>0</v>
      </c>
      <c r="BJ457" s="11">
        <f>G457*H457</f>
        <v>0</v>
      </c>
      <c r="BK457" s="11" t="s">
        <v>981</v>
      </c>
      <c r="BL457" s="20">
        <v>764</v>
      </c>
    </row>
    <row r="458" spans="1:15" ht="12.75">
      <c r="A458" s="1"/>
      <c r="D458" s="8" t="s">
        <v>12</v>
      </c>
      <c r="E458" s="9" t="s">
        <v>843</v>
      </c>
      <c r="G458" s="12">
        <v>6</v>
      </c>
      <c r="N458" s="16"/>
      <c r="O458" s="1"/>
    </row>
    <row r="459" spans="1:15" ht="12.75">
      <c r="A459" s="1"/>
      <c r="D459" s="8" t="s">
        <v>9</v>
      </c>
      <c r="E459" s="9" t="s">
        <v>844</v>
      </c>
      <c r="G459" s="12">
        <v>3</v>
      </c>
      <c r="N459" s="16"/>
      <c r="O459" s="1"/>
    </row>
    <row r="460" spans="1:15" ht="12.75">
      <c r="A460" s="1"/>
      <c r="D460" s="8" t="s">
        <v>18</v>
      </c>
      <c r="E460" s="9" t="s">
        <v>845</v>
      </c>
      <c r="G460" s="12">
        <v>12</v>
      </c>
      <c r="N460" s="16"/>
      <c r="O460" s="1"/>
    </row>
    <row r="461" spans="1:15" ht="12.75">
      <c r="A461" s="1"/>
      <c r="D461" s="8" t="s">
        <v>18</v>
      </c>
      <c r="E461" s="9" t="s">
        <v>846</v>
      </c>
      <c r="G461" s="12">
        <v>12</v>
      </c>
      <c r="N461" s="16"/>
      <c r="O461" s="1"/>
    </row>
    <row r="462" spans="1:15" ht="12.75">
      <c r="A462" s="1"/>
      <c r="D462" s="8" t="s">
        <v>18</v>
      </c>
      <c r="E462" s="9" t="s">
        <v>847</v>
      </c>
      <c r="G462" s="12">
        <v>12</v>
      </c>
      <c r="N462" s="16"/>
      <c r="O462" s="1"/>
    </row>
    <row r="463" spans="1:15" ht="12.75">
      <c r="A463" s="1"/>
      <c r="D463" s="8" t="s">
        <v>8</v>
      </c>
      <c r="E463" s="9" t="s">
        <v>848</v>
      </c>
      <c r="G463" s="12">
        <v>2</v>
      </c>
      <c r="N463" s="16"/>
      <c r="O463" s="1"/>
    </row>
    <row r="464" spans="1:15" ht="12.75">
      <c r="A464" s="1"/>
      <c r="D464" s="8" t="s">
        <v>8</v>
      </c>
      <c r="E464" s="9" t="s">
        <v>849</v>
      </c>
      <c r="G464" s="12">
        <v>2</v>
      </c>
      <c r="N464" s="16"/>
      <c r="O464" s="1"/>
    </row>
    <row r="465" spans="1:15" ht="12.75">
      <c r="A465" s="1"/>
      <c r="D465" s="8" t="s">
        <v>16</v>
      </c>
      <c r="E465" s="9" t="s">
        <v>850</v>
      </c>
      <c r="G465" s="12">
        <v>10</v>
      </c>
      <c r="N465" s="16"/>
      <c r="O465" s="1"/>
    </row>
    <row r="466" spans="1:15" ht="12.75">
      <c r="A466" s="1"/>
      <c r="D466" s="8" t="s">
        <v>12</v>
      </c>
      <c r="E466" s="9" t="s">
        <v>851</v>
      </c>
      <c r="G466" s="12">
        <v>6</v>
      </c>
      <c r="N466" s="16"/>
      <c r="O466" s="1"/>
    </row>
    <row r="467" spans="1:64" ht="12.75">
      <c r="A467" s="60" t="s">
        <v>96</v>
      </c>
      <c r="B467" s="5"/>
      <c r="C467" s="5" t="s">
        <v>265</v>
      </c>
      <c r="D467" s="159" t="s">
        <v>614</v>
      </c>
      <c r="E467" s="150"/>
      <c r="F467" s="5" t="s">
        <v>887</v>
      </c>
      <c r="G467" s="11">
        <v>2.28</v>
      </c>
      <c r="H467" s="103"/>
      <c r="I467" s="11">
        <f>G467*AO467</f>
        <v>0</v>
      </c>
      <c r="J467" s="11">
        <f>G467*AP467</f>
        <v>0</v>
      </c>
      <c r="K467" s="11">
        <f>G467*H467</f>
        <v>0</v>
      </c>
      <c r="L467" s="11">
        <v>0</v>
      </c>
      <c r="M467" s="11">
        <f>G467*L467</f>
        <v>0</v>
      </c>
      <c r="N467" s="15" t="s">
        <v>912</v>
      </c>
      <c r="O467" s="1"/>
      <c r="Z467" s="20">
        <f>IF(AQ467="5",BJ467,0)</f>
        <v>0</v>
      </c>
      <c r="AB467" s="20">
        <f>IF(AQ467="1",BH467,0)</f>
        <v>0</v>
      </c>
      <c r="AC467" s="20">
        <f>IF(AQ467="1",BI467,0)</f>
        <v>0</v>
      </c>
      <c r="AD467" s="20">
        <f>IF(AQ467="7",BH467,0)</f>
        <v>0</v>
      </c>
      <c r="AE467" s="20">
        <f>IF(AQ467="7",BI467,0)</f>
        <v>0</v>
      </c>
      <c r="AF467" s="20">
        <f>IF(AQ467="2",BH467,0)</f>
        <v>0</v>
      </c>
      <c r="AG467" s="20">
        <f>IF(AQ467="2",BI467,0)</f>
        <v>0</v>
      </c>
      <c r="AH467" s="20">
        <f>IF(AQ467="0",BJ467,0)</f>
        <v>0</v>
      </c>
      <c r="AI467" s="14"/>
      <c r="AJ467" s="11">
        <f>IF(AN467=0,K467,0)</f>
        <v>0</v>
      </c>
      <c r="AK467" s="11">
        <f>IF(AN467=15,K467,0)</f>
        <v>0</v>
      </c>
      <c r="AL467" s="11">
        <f>IF(AN467=21,K467,0)</f>
        <v>0</v>
      </c>
      <c r="AN467" s="20">
        <v>21</v>
      </c>
      <c r="AO467" s="20">
        <f>H467*0</f>
        <v>0</v>
      </c>
      <c r="AP467" s="20">
        <f>H467*(1-0)</f>
        <v>0</v>
      </c>
      <c r="AQ467" s="21" t="s">
        <v>11</v>
      </c>
      <c r="AV467" s="20">
        <f>AW467+AX467</f>
        <v>0</v>
      </c>
      <c r="AW467" s="20">
        <f>G467*AO467</f>
        <v>0</v>
      </c>
      <c r="AX467" s="20">
        <f>G467*AP467</f>
        <v>0</v>
      </c>
      <c r="AY467" s="23" t="s">
        <v>940</v>
      </c>
      <c r="AZ467" s="23" t="s">
        <v>970</v>
      </c>
      <c r="BA467" s="14" t="s">
        <v>976</v>
      </c>
      <c r="BC467" s="20">
        <f>AW467+AX467</f>
        <v>0</v>
      </c>
      <c r="BD467" s="20">
        <f>H467/(100-BE467)*100</f>
        <v>0</v>
      </c>
      <c r="BE467" s="20">
        <v>0</v>
      </c>
      <c r="BF467" s="20">
        <f>M467</f>
        <v>0</v>
      </c>
      <c r="BH467" s="11">
        <f>G467*AO467</f>
        <v>0</v>
      </c>
      <c r="BI467" s="11">
        <f>G467*AP467</f>
        <v>0</v>
      </c>
      <c r="BJ467" s="11">
        <f>G467*H467</f>
        <v>0</v>
      </c>
      <c r="BK467" s="11" t="s">
        <v>981</v>
      </c>
      <c r="BL467" s="20">
        <v>764</v>
      </c>
    </row>
    <row r="468" spans="1:47" ht="12.75">
      <c r="A468" s="2"/>
      <c r="B468" s="6"/>
      <c r="C468" s="6" t="s">
        <v>266</v>
      </c>
      <c r="D468" s="174" t="s">
        <v>615</v>
      </c>
      <c r="E468" s="175"/>
      <c r="F468" s="10" t="s">
        <v>6</v>
      </c>
      <c r="G468" s="10" t="s">
        <v>6</v>
      </c>
      <c r="H468" s="10"/>
      <c r="I468" s="25">
        <f>SUM(I469:I519)</f>
        <v>0</v>
      </c>
      <c r="J468" s="25">
        <f>SUM(J469:J519)</f>
        <v>0</v>
      </c>
      <c r="K468" s="25">
        <f>SUM(K469:K519)</f>
        <v>0</v>
      </c>
      <c r="L468" s="14"/>
      <c r="M468" s="25">
        <f>SUM(M469:M519)</f>
        <v>4.535762</v>
      </c>
      <c r="N468" s="17"/>
      <c r="O468" s="1"/>
      <c r="AI468" s="14"/>
      <c r="AS468" s="25">
        <f>SUM(AJ469:AJ519)</f>
        <v>0</v>
      </c>
      <c r="AT468" s="25">
        <f>SUM(AK469:AK519)</f>
        <v>0</v>
      </c>
      <c r="AU468" s="25">
        <f>SUM(AL469:AL519)</f>
        <v>0</v>
      </c>
    </row>
    <row r="469" spans="1:64" ht="12.75">
      <c r="A469" s="60" t="s">
        <v>97</v>
      </c>
      <c r="B469" s="5"/>
      <c r="C469" s="5" t="s">
        <v>267</v>
      </c>
      <c r="D469" s="176" t="s">
        <v>616</v>
      </c>
      <c r="E469" s="177"/>
      <c r="F469" s="5" t="s">
        <v>883</v>
      </c>
      <c r="G469" s="11">
        <v>827.33</v>
      </c>
      <c r="H469" s="103"/>
      <c r="I469" s="11">
        <f>G469*AO469</f>
        <v>0</v>
      </c>
      <c r="J469" s="11">
        <f>G469*AP469</f>
        <v>0</v>
      </c>
      <c r="K469" s="11">
        <f>G469*H469</f>
        <v>0</v>
      </c>
      <c r="L469" s="11">
        <v>0.00028</v>
      </c>
      <c r="M469" s="11">
        <f>G469*L469</f>
        <v>0.23165239999999998</v>
      </c>
      <c r="N469" s="15" t="s">
        <v>912</v>
      </c>
      <c r="O469" s="1"/>
      <c r="Z469" s="20">
        <f>IF(AQ469="5",BJ469,0)</f>
        <v>0</v>
      </c>
      <c r="AB469" s="20">
        <f>IF(AQ469="1",BH469,0)</f>
        <v>0</v>
      </c>
      <c r="AC469" s="20">
        <f>IF(AQ469="1",BI469,0)</f>
        <v>0</v>
      </c>
      <c r="AD469" s="20">
        <f>IF(AQ469="7",BH469,0)</f>
        <v>0</v>
      </c>
      <c r="AE469" s="20">
        <f>IF(AQ469="7",BI469,0)</f>
        <v>0</v>
      </c>
      <c r="AF469" s="20">
        <f>IF(AQ469="2",BH469,0)</f>
        <v>0</v>
      </c>
      <c r="AG469" s="20">
        <f>IF(AQ469="2",BI469,0)</f>
        <v>0</v>
      </c>
      <c r="AH469" s="20">
        <f>IF(AQ469="0",BJ469,0)</f>
        <v>0</v>
      </c>
      <c r="AI469" s="14"/>
      <c r="AJ469" s="11">
        <f>IF(AN469=0,K469,0)</f>
        <v>0</v>
      </c>
      <c r="AK469" s="11">
        <f>IF(AN469=15,K469,0)</f>
        <v>0</v>
      </c>
      <c r="AL469" s="11">
        <f>IF(AN469=21,K469,0)</f>
        <v>0</v>
      </c>
      <c r="AN469" s="20">
        <v>21</v>
      </c>
      <c r="AO469" s="20">
        <f>H469*0.143675463139493</f>
        <v>0</v>
      </c>
      <c r="AP469" s="20">
        <f>H469*(1-0.143675463139493)</f>
        <v>0</v>
      </c>
      <c r="AQ469" s="21" t="s">
        <v>13</v>
      </c>
      <c r="AV469" s="20">
        <f>AW469+AX469</f>
        <v>0</v>
      </c>
      <c r="AW469" s="20">
        <f>G469*AO469</f>
        <v>0</v>
      </c>
      <c r="AX469" s="20">
        <f>G469*AP469</f>
        <v>0</v>
      </c>
      <c r="AY469" s="23" t="s">
        <v>941</v>
      </c>
      <c r="AZ469" s="23" t="s">
        <v>970</v>
      </c>
      <c r="BA469" s="14" t="s">
        <v>976</v>
      </c>
      <c r="BC469" s="20">
        <f>AW469+AX469</f>
        <v>0</v>
      </c>
      <c r="BD469" s="20">
        <f>H469/(100-BE469)*100</f>
        <v>0</v>
      </c>
      <c r="BE469" s="20">
        <v>0</v>
      </c>
      <c r="BF469" s="20">
        <f>M469</f>
        <v>0.23165239999999998</v>
      </c>
      <c r="BH469" s="11">
        <f>G469*AO469</f>
        <v>0</v>
      </c>
      <c r="BI469" s="11">
        <f>G469*AP469</f>
        <v>0</v>
      </c>
      <c r="BJ469" s="11">
        <f>G469*H469</f>
        <v>0</v>
      </c>
      <c r="BK469" s="11" t="s">
        <v>981</v>
      </c>
      <c r="BL469" s="20">
        <v>766</v>
      </c>
    </row>
    <row r="470" spans="1:15" ht="12.75">
      <c r="A470" s="1"/>
      <c r="D470" s="8" t="s">
        <v>617</v>
      </c>
      <c r="E470" s="9" t="s">
        <v>829</v>
      </c>
      <c r="G470" s="12">
        <v>223.05</v>
      </c>
      <c r="N470" s="16"/>
      <c r="O470" s="1"/>
    </row>
    <row r="471" spans="1:15" ht="12.75">
      <c r="A471" s="1"/>
      <c r="D471" s="8" t="s">
        <v>618</v>
      </c>
      <c r="E471" s="9" t="s">
        <v>830</v>
      </c>
      <c r="G471" s="12">
        <v>41.6</v>
      </c>
      <c r="N471" s="16"/>
      <c r="O471" s="1"/>
    </row>
    <row r="472" spans="1:15" ht="12.75">
      <c r="A472" s="1"/>
      <c r="D472" s="8" t="s">
        <v>619</v>
      </c>
      <c r="E472" s="9" t="s">
        <v>817</v>
      </c>
      <c r="G472" s="12">
        <v>70.15</v>
      </c>
      <c r="N472" s="16"/>
      <c r="O472" s="1"/>
    </row>
    <row r="473" spans="1:15" ht="12.75">
      <c r="A473" s="1"/>
      <c r="D473" s="8" t="s">
        <v>617</v>
      </c>
      <c r="E473" s="9" t="s">
        <v>832</v>
      </c>
      <c r="G473" s="12">
        <v>223.05</v>
      </c>
      <c r="N473" s="16"/>
      <c r="O473" s="1"/>
    </row>
    <row r="474" spans="1:15" ht="12.75">
      <c r="A474" s="1"/>
      <c r="D474" s="8" t="s">
        <v>618</v>
      </c>
      <c r="E474" s="9" t="s">
        <v>831</v>
      </c>
      <c r="G474" s="12">
        <v>41.6</v>
      </c>
      <c r="N474" s="16"/>
      <c r="O474" s="1"/>
    </row>
    <row r="475" spans="1:15" ht="12.75">
      <c r="A475" s="1"/>
      <c r="D475" s="8" t="s">
        <v>619</v>
      </c>
      <c r="E475" s="9" t="s">
        <v>833</v>
      </c>
      <c r="G475" s="12">
        <v>70.15</v>
      </c>
      <c r="N475" s="16"/>
      <c r="O475" s="1"/>
    </row>
    <row r="476" spans="1:15" ht="12.75">
      <c r="A476" s="1"/>
      <c r="D476" s="8" t="s">
        <v>620</v>
      </c>
      <c r="E476" s="9" t="s">
        <v>818</v>
      </c>
      <c r="G476" s="12">
        <v>111.2</v>
      </c>
      <c r="N476" s="16"/>
      <c r="O476" s="1"/>
    </row>
    <row r="477" spans="1:15" ht="12.75">
      <c r="A477" s="1"/>
      <c r="D477" s="8" t="s">
        <v>621</v>
      </c>
      <c r="E477" s="9" t="s">
        <v>852</v>
      </c>
      <c r="G477" s="12">
        <v>46.53</v>
      </c>
      <c r="N477" s="16"/>
      <c r="O477" s="1"/>
    </row>
    <row r="478" spans="1:64" ht="12.75">
      <c r="A478" s="61" t="s">
        <v>98</v>
      </c>
      <c r="B478" s="7"/>
      <c r="C478" s="7" t="s">
        <v>268</v>
      </c>
      <c r="D478" s="179" t="s">
        <v>622</v>
      </c>
      <c r="E478" s="180"/>
      <c r="F478" s="7" t="s">
        <v>883</v>
      </c>
      <c r="G478" s="13">
        <v>827.33</v>
      </c>
      <c r="H478" s="13"/>
      <c r="I478" s="13">
        <f>G478*AO478</f>
        <v>0</v>
      </c>
      <c r="J478" s="13">
        <f>G478*AP478</f>
        <v>0</v>
      </c>
      <c r="K478" s="13">
        <f>G478*H478</f>
        <v>0</v>
      </c>
      <c r="L478" s="13">
        <v>0.00132</v>
      </c>
      <c r="M478" s="13">
        <f>G478*L478</f>
        <v>1.0920756</v>
      </c>
      <c r="N478" s="18" t="s">
        <v>912</v>
      </c>
      <c r="O478" s="1"/>
      <c r="Z478" s="20">
        <f>IF(AQ478="5",BJ478,0)</f>
        <v>0</v>
      </c>
      <c r="AB478" s="20">
        <f>IF(AQ478="1",BH478,0)</f>
        <v>0</v>
      </c>
      <c r="AC478" s="20">
        <f>IF(AQ478="1",BI478,0)</f>
        <v>0</v>
      </c>
      <c r="AD478" s="20">
        <f>IF(AQ478="7",BH478,0)</f>
        <v>0</v>
      </c>
      <c r="AE478" s="20">
        <f>IF(AQ478="7",BI478,0)</f>
        <v>0</v>
      </c>
      <c r="AF478" s="20">
        <f>IF(AQ478="2",BH478,0)</f>
        <v>0</v>
      </c>
      <c r="AG478" s="20">
        <f>IF(AQ478="2",BI478,0)</f>
        <v>0</v>
      </c>
      <c r="AH478" s="20">
        <f>IF(AQ478="0",BJ478,0)</f>
        <v>0</v>
      </c>
      <c r="AI478" s="14"/>
      <c r="AJ478" s="13">
        <f>IF(AN478=0,K478,0)</f>
        <v>0</v>
      </c>
      <c r="AK478" s="13">
        <f>IF(AN478=15,K478,0)</f>
        <v>0</v>
      </c>
      <c r="AL478" s="13">
        <f>IF(AN478=21,K478,0)</f>
        <v>0</v>
      </c>
      <c r="AN478" s="20">
        <v>21</v>
      </c>
      <c r="AO478" s="20">
        <f>H478*1</f>
        <v>0</v>
      </c>
      <c r="AP478" s="20">
        <f>H478*(1-1)</f>
        <v>0</v>
      </c>
      <c r="AQ478" s="22" t="s">
        <v>13</v>
      </c>
      <c r="AV478" s="20">
        <f>AW478+AX478</f>
        <v>0</v>
      </c>
      <c r="AW478" s="20">
        <f>G478*AO478</f>
        <v>0</v>
      </c>
      <c r="AX478" s="20">
        <f>G478*AP478</f>
        <v>0</v>
      </c>
      <c r="AY478" s="23" t="s">
        <v>941</v>
      </c>
      <c r="AZ478" s="23" t="s">
        <v>970</v>
      </c>
      <c r="BA478" s="14" t="s">
        <v>976</v>
      </c>
      <c r="BC478" s="20">
        <f>AW478+AX478</f>
        <v>0</v>
      </c>
      <c r="BD478" s="20">
        <f>H478/(100-BE478)*100</f>
        <v>0</v>
      </c>
      <c r="BE478" s="20">
        <v>0</v>
      </c>
      <c r="BF478" s="20">
        <f>M478</f>
        <v>1.0920756</v>
      </c>
      <c r="BH478" s="13">
        <f>G478*AO478</f>
        <v>0</v>
      </c>
      <c r="BI478" s="13">
        <f>G478*AP478</f>
        <v>0</v>
      </c>
      <c r="BJ478" s="13">
        <f>G478*H478</f>
        <v>0</v>
      </c>
      <c r="BK478" s="13" t="s">
        <v>982</v>
      </c>
      <c r="BL478" s="20">
        <v>766</v>
      </c>
    </row>
    <row r="479" spans="1:15" ht="12.75">
      <c r="A479" s="1"/>
      <c r="D479" s="8" t="s">
        <v>617</v>
      </c>
      <c r="E479" s="9" t="s">
        <v>829</v>
      </c>
      <c r="G479" s="12">
        <v>223.05</v>
      </c>
      <c r="N479" s="16"/>
      <c r="O479" s="1"/>
    </row>
    <row r="480" spans="1:15" ht="12.75">
      <c r="A480" s="1"/>
      <c r="D480" s="8" t="s">
        <v>618</v>
      </c>
      <c r="E480" s="9" t="s">
        <v>830</v>
      </c>
      <c r="G480" s="12">
        <v>41.6</v>
      </c>
      <c r="N480" s="16"/>
      <c r="O480" s="1"/>
    </row>
    <row r="481" spans="1:15" ht="12.75">
      <c r="A481" s="1"/>
      <c r="D481" s="8" t="s">
        <v>619</v>
      </c>
      <c r="E481" s="9" t="s">
        <v>817</v>
      </c>
      <c r="G481" s="12">
        <v>70.15</v>
      </c>
      <c r="N481" s="16"/>
      <c r="O481" s="1"/>
    </row>
    <row r="482" spans="1:15" ht="12.75">
      <c r="A482" s="1"/>
      <c r="D482" s="8" t="s">
        <v>617</v>
      </c>
      <c r="E482" s="9" t="s">
        <v>832</v>
      </c>
      <c r="G482" s="12">
        <v>223.05</v>
      </c>
      <c r="N482" s="16"/>
      <c r="O482" s="1"/>
    </row>
    <row r="483" spans="1:15" ht="12.75">
      <c r="A483" s="1"/>
      <c r="D483" s="8" t="s">
        <v>618</v>
      </c>
      <c r="E483" s="9" t="s">
        <v>831</v>
      </c>
      <c r="G483" s="12">
        <v>41.6</v>
      </c>
      <c r="N483" s="16"/>
      <c r="O483" s="1"/>
    </row>
    <row r="484" spans="1:15" ht="12.75">
      <c r="A484" s="1"/>
      <c r="D484" s="8" t="s">
        <v>619</v>
      </c>
      <c r="E484" s="9" t="s">
        <v>833</v>
      </c>
      <c r="G484" s="12">
        <v>70.15</v>
      </c>
      <c r="N484" s="16"/>
      <c r="O484" s="1"/>
    </row>
    <row r="485" spans="1:15" ht="12.75">
      <c r="A485" s="1"/>
      <c r="D485" s="8" t="s">
        <v>620</v>
      </c>
      <c r="E485" s="9" t="s">
        <v>818</v>
      </c>
      <c r="G485" s="12">
        <v>111.2</v>
      </c>
      <c r="N485" s="16"/>
      <c r="O485" s="1"/>
    </row>
    <row r="486" spans="1:15" ht="12.75">
      <c r="A486" s="1"/>
      <c r="D486" s="8" t="s">
        <v>621</v>
      </c>
      <c r="E486" s="9" t="s">
        <v>852</v>
      </c>
      <c r="G486" s="12">
        <v>46.53</v>
      </c>
      <c r="N486" s="16"/>
      <c r="O486" s="1"/>
    </row>
    <row r="487" spans="1:64" ht="12.75">
      <c r="A487" s="60" t="s">
        <v>99</v>
      </c>
      <c r="B487" s="5"/>
      <c r="C487" s="5" t="s">
        <v>269</v>
      </c>
      <c r="D487" s="176" t="s">
        <v>623</v>
      </c>
      <c r="E487" s="177"/>
      <c r="F487" s="5" t="s">
        <v>881</v>
      </c>
      <c r="G487" s="11">
        <v>93.7</v>
      </c>
      <c r="H487" s="103"/>
      <c r="I487" s="11">
        <f>G487*AO487</f>
        <v>0</v>
      </c>
      <c r="J487" s="11">
        <f>G487*AP487</f>
        <v>0</v>
      </c>
      <c r="K487" s="11">
        <f>G487*H487</f>
        <v>0</v>
      </c>
      <c r="L487" s="11">
        <v>0.0003</v>
      </c>
      <c r="M487" s="11">
        <f>G487*L487</f>
        <v>0.02811</v>
      </c>
      <c r="N487" s="15" t="s">
        <v>912</v>
      </c>
      <c r="O487" s="1"/>
      <c r="Z487" s="20">
        <f>IF(AQ487="5",BJ487,0)</f>
        <v>0</v>
      </c>
      <c r="AB487" s="20">
        <f>IF(AQ487="1",BH487,0)</f>
        <v>0</v>
      </c>
      <c r="AC487" s="20">
        <f>IF(AQ487="1",BI487,0)</f>
        <v>0</v>
      </c>
      <c r="AD487" s="20">
        <f>IF(AQ487="7",BH487,0)</f>
        <v>0</v>
      </c>
      <c r="AE487" s="20">
        <f>IF(AQ487="7",BI487,0)</f>
        <v>0</v>
      </c>
      <c r="AF487" s="20">
        <f>IF(AQ487="2",BH487,0)</f>
        <v>0</v>
      </c>
      <c r="AG487" s="20">
        <f>IF(AQ487="2",BI487,0)</f>
        <v>0</v>
      </c>
      <c r="AH487" s="20">
        <f>IF(AQ487="0",BJ487,0)</f>
        <v>0</v>
      </c>
      <c r="AI487" s="14"/>
      <c r="AJ487" s="11">
        <f>IF(AN487=0,K487,0)</f>
        <v>0</v>
      </c>
      <c r="AK487" s="11">
        <f>IF(AN487=15,K487,0)</f>
        <v>0</v>
      </c>
      <c r="AL487" s="11">
        <f>IF(AN487=21,K487,0)</f>
        <v>0</v>
      </c>
      <c r="AN487" s="20">
        <v>21</v>
      </c>
      <c r="AO487" s="20">
        <f>H487*0.0218385644377881</f>
        <v>0</v>
      </c>
      <c r="AP487" s="20">
        <f>H487*(1-0.0218385644377881)</f>
        <v>0</v>
      </c>
      <c r="AQ487" s="21" t="s">
        <v>13</v>
      </c>
      <c r="AV487" s="20">
        <f>AW487+AX487</f>
        <v>0</v>
      </c>
      <c r="AW487" s="20">
        <f>G487*AO487</f>
        <v>0</v>
      </c>
      <c r="AX487" s="20">
        <f>G487*AP487</f>
        <v>0</v>
      </c>
      <c r="AY487" s="23" t="s">
        <v>941</v>
      </c>
      <c r="AZ487" s="23" t="s">
        <v>970</v>
      </c>
      <c r="BA487" s="14" t="s">
        <v>976</v>
      </c>
      <c r="BC487" s="20">
        <f>AW487+AX487</f>
        <v>0</v>
      </c>
      <c r="BD487" s="20">
        <f>H487/(100-BE487)*100</f>
        <v>0</v>
      </c>
      <c r="BE487" s="20">
        <v>0</v>
      </c>
      <c r="BF487" s="20">
        <f>M487</f>
        <v>0.02811</v>
      </c>
      <c r="BH487" s="11">
        <f>G487*AO487</f>
        <v>0</v>
      </c>
      <c r="BI487" s="11">
        <f>G487*AP487</f>
        <v>0</v>
      </c>
      <c r="BJ487" s="11">
        <f>G487*H487</f>
        <v>0</v>
      </c>
      <c r="BK487" s="11" t="s">
        <v>981</v>
      </c>
      <c r="BL487" s="20">
        <v>766</v>
      </c>
    </row>
    <row r="488" spans="1:15" ht="12.75">
      <c r="A488" s="1"/>
      <c r="D488" s="8" t="s">
        <v>624</v>
      </c>
      <c r="E488" s="9" t="s">
        <v>829</v>
      </c>
      <c r="G488" s="12">
        <v>26.766</v>
      </c>
      <c r="N488" s="16"/>
      <c r="O488" s="1"/>
    </row>
    <row r="489" spans="1:15" ht="12.75">
      <c r="A489" s="1"/>
      <c r="D489" s="8" t="s">
        <v>625</v>
      </c>
      <c r="E489" s="9" t="s">
        <v>830</v>
      </c>
      <c r="G489" s="12">
        <v>4.992</v>
      </c>
      <c r="N489" s="16"/>
      <c r="O489" s="1"/>
    </row>
    <row r="490" spans="1:15" ht="12.75">
      <c r="A490" s="1"/>
      <c r="D490" s="8" t="s">
        <v>626</v>
      </c>
      <c r="E490" s="9" t="s">
        <v>817</v>
      </c>
      <c r="G490" s="12">
        <v>8.418</v>
      </c>
      <c r="N490" s="16"/>
      <c r="O490" s="1"/>
    </row>
    <row r="491" spans="1:15" ht="12.75">
      <c r="A491" s="1"/>
      <c r="D491" s="8" t="s">
        <v>624</v>
      </c>
      <c r="E491" s="9" t="s">
        <v>832</v>
      </c>
      <c r="G491" s="12">
        <v>26.766</v>
      </c>
      <c r="N491" s="16"/>
      <c r="O491" s="1"/>
    </row>
    <row r="492" spans="1:15" ht="12.75">
      <c r="A492" s="1"/>
      <c r="D492" s="8" t="s">
        <v>625</v>
      </c>
      <c r="E492" s="9" t="s">
        <v>831</v>
      </c>
      <c r="G492" s="12">
        <v>4.992</v>
      </c>
      <c r="N492" s="16"/>
      <c r="O492" s="1"/>
    </row>
    <row r="493" spans="1:15" ht="12.75">
      <c r="A493" s="1"/>
      <c r="D493" s="8" t="s">
        <v>626</v>
      </c>
      <c r="E493" s="9" t="s">
        <v>833</v>
      </c>
      <c r="G493" s="12">
        <v>8.418</v>
      </c>
      <c r="N493" s="16"/>
      <c r="O493" s="1"/>
    </row>
    <row r="494" spans="1:15" ht="12.75">
      <c r="A494" s="1"/>
      <c r="D494" s="8" t="s">
        <v>627</v>
      </c>
      <c r="E494" s="9" t="s">
        <v>818</v>
      </c>
      <c r="G494" s="12">
        <v>13.344</v>
      </c>
      <c r="N494" s="16"/>
      <c r="O494" s="1"/>
    </row>
    <row r="495" spans="1:64" ht="12.75">
      <c r="A495" s="61" t="s">
        <v>100</v>
      </c>
      <c r="B495" s="7"/>
      <c r="C495" s="7" t="s">
        <v>270</v>
      </c>
      <c r="D495" s="179" t="s">
        <v>628</v>
      </c>
      <c r="E495" s="180"/>
      <c r="F495" s="7" t="s">
        <v>881</v>
      </c>
      <c r="G495" s="13">
        <v>103.07</v>
      </c>
      <c r="H495" s="104"/>
      <c r="I495" s="13">
        <f>G495*AO495</f>
        <v>0</v>
      </c>
      <c r="J495" s="13">
        <f>G495*AP495</f>
        <v>0</v>
      </c>
      <c r="K495" s="13">
        <f>G495*H495</f>
        <v>0</v>
      </c>
      <c r="L495" s="13">
        <v>0.0122</v>
      </c>
      <c r="M495" s="13">
        <f>G495*L495</f>
        <v>1.257454</v>
      </c>
      <c r="N495" s="18" t="s">
        <v>912</v>
      </c>
      <c r="O495" s="1"/>
      <c r="Z495" s="20">
        <f>IF(AQ495="5",BJ495,0)</f>
        <v>0</v>
      </c>
      <c r="AB495" s="20">
        <f>IF(AQ495="1",BH495,0)</f>
        <v>0</v>
      </c>
      <c r="AC495" s="20">
        <f>IF(AQ495="1",BI495,0)</f>
        <v>0</v>
      </c>
      <c r="AD495" s="20">
        <f>IF(AQ495="7",BH495,0)</f>
        <v>0</v>
      </c>
      <c r="AE495" s="20">
        <f>IF(AQ495="7",BI495,0)</f>
        <v>0</v>
      </c>
      <c r="AF495" s="20">
        <f>IF(AQ495="2",BH495,0)</f>
        <v>0</v>
      </c>
      <c r="AG495" s="20">
        <f>IF(AQ495="2",BI495,0)</f>
        <v>0</v>
      </c>
      <c r="AH495" s="20">
        <f>IF(AQ495="0",BJ495,0)</f>
        <v>0</v>
      </c>
      <c r="AI495" s="14"/>
      <c r="AJ495" s="13">
        <f>IF(AN495=0,K495,0)</f>
        <v>0</v>
      </c>
      <c r="AK495" s="13">
        <f>IF(AN495=15,K495,0)</f>
        <v>0</v>
      </c>
      <c r="AL495" s="13">
        <f>IF(AN495=21,K495,0)</f>
        <v>0</v>
      </c>
      <c r="AN495" s="20">
        <v>21</v>
      </c>
      <c r="AO495" s="20">
        <f>H495*1</f>
        <v>0</v>
      </c>
      <c r="AP495" s="20">
        <f>H495*(1-1)</f>
        <v>0</v>
      </c>
      <c r="AQ495" s="22" t="s">
        <v>13</v>
      </c>
      <c r="AV495" s="20">
        <f>AW495+AX495</f>
        <v>0</v>
      </c>
      <c r="AW495" s="20">
        <f>G495*AO495</f>
        <v>0</v>
      </c>
      <c r="AX495" s="20">
        <f>G495*AP495</f>
        <v>0</v>
      </c>
      <c r="AY495" s="23" t="s">
        <v>941</v>
      </c>
      <c r="AZ495" s="23" t="s">
        <v>970</v>
      </c>
      <c r="BA495" s="14" t="s">
        <v>976</v>
      </c>
      <c r="BC495" s="20">
        <f>AW495+AX495</f>
        <v>0</v>
      </c>
      <c r="BD495" s="20">
        <f>H495/(100-BE495)*100</f>
        <v>0</v>
      </c>
      <c r="BE495" s="20">
        <v>0</v>
      </c>
      <c r="BF495" s="20">
        <f>M495</f>
        <v>1.257454</v>
      </c>
      <c r="BH495" s="13">
        <f>G495*AO495</f>
        <v>0</v>
      </c>
      <c r="BI495" s="13">
        <f>G495*AP495</f>
        <v>0</v>
      </c>
      <c r="BJ495" s="13">
        <f>G495*H495</f>
        <v>0</v>
      </c>
      <c r="BK495" s="13" t="s">
        <v>982</v>
      </c>
      <c r="BL495" s="20">
        <v>766</v>
      </c>
    </row>
    <row r="496" spans="1:15" ht="12.75">
      <c r="A496" s="1"/>
      <c r="D496" s="8" t="s">
        <v>629</v>
      </c>
      <c r="E496" s="9" t="s">
        <v>829</v>
      </c>
      <c r="G496" s="12">
        <v>29.4426</v>
      </c>
      <c r="N496" s="16"/>
      <c r="O496" s="1"/>
    </row>
    <row r="497" spans="1:15" ht="12.75">
      <c r="A497" s="1"/>
      <c r="D497" s="8" t="s">
        <v>630</v>
      </c>
      <c r="E497" s="9" t="s">
        <v>830</v>
      </c>
      <c r="G497" s="12">
        <v>5.4912</v>
      </c>
      <c r="N497" s="16"/>
      <c r="O497" s="1"/>
    </row>
    <row r="498" spans="1:15" ht="12.75">
      <c r="A498" s="1"/>
      <c r="D498" s="8" t="s">
        <v>631</v>
      </c>
      <c r="E498" s="9" t="s">
        <v>817</v>
      </c>
      <c r="G498" s="12">
        <v>9.2598</v>
      </c>
      <c r="N498" s="16"/>
      <c r="O498" s="1"/>
    </row>
    <row r="499" spans="1:15" ht="12.75">
      <c r="A499" s="1"/>
      <c r="D499" s="8" t="s">
        <v>629</v>
      </c>
      <c r="E499" s="9" t="s">
        <v>832</v>
      </c>
      <c r="G499" s="12">
        <v>29.4426</v>
      </c>
      <c r="N499" s="16"/>
      <c r="O499" s="1"/>
    </row>
    <row r="500" spans="1:15" ht="12.75">
      <c r="A500" s="1"/>
      <c r="D500" s="8" t="s">
        <v>630</v>
      </c>
      <c r="E500" s="9" t="s">
        <v>831</v>
      </c>
      <c r="G500" s="12">
        <v>5.4912</v>
      </c>
      <c r="N500" s="16"/>
      <c r="O500" s="1"/>
    </row>
    <row r="501" spans="1:15" ht="12.75">
      <c r="A501" s="1"/>
      <c r="D501" s="8" t="s">
        <v>631</v>
      </c>
      <c r="E501" s="9" t="s">
        <v>833</v>
      </c>
      <c r="G501" s="12">
        <v>9.2598</v>
      </c>
      <c r="N501" s="16"/>
      <c r="O501" s="1"/>
    </row>
    <row r="502" spans="1:15" ht="12.75">
      <c r="A502" s="1"/>
      <c r="D502" s="8" t="s">
        <v>632</v>
      </c>
      <c r="E502" s="9" t="s">
        <v>818</v>
      </c>
      <c r="G502" s="12">
        <v>14.6784</v>
      </c>
      <c r="N502" s="16"/>
      <c r="O502" s="1"/>
    </row>
    <row r="503" spans="1:64" ht="12.75">
      <c r="A503" s="60" t="s">
        <v>101</v>
      </c>
      <c r="B503" s="5"/>
      <c r="C503" s="5" t="s">
        <v>271</v>
      </c>
      <c r="D503" s="176" t="s">
        <v>633</v>
      </c>
      <c r="E503" s="177"/>
      <c r="F503" s="5" t="s">
        <v>881</v>
      </c>
      <c r="G503" s="11">
        <v>101.5</v>
      </c>
      <c r="H503" s="103"/>
      <c r="I503" s="11">
        <f>G503*AO503</f>
        <v>0</v>
      </c>
      <c r="J503" s="11">
        <f>G503*AP503</f>
        <v>0</v>
      </c>
      <c r="K503" s="11">
        <f>G503*H503</f>
        <v>0</v>
      </c>
      <c r="L503" s="11">
        <v>0.01098</v>
      </c>
      <c r="M503" s="11">
        <f>G503*L503</f>
        <v>1.11447</v>
      </c>
      <c r="N503" s="15" t="s">
        <v>912</v>
      </c>
      <c r="O503" s="1"/>
      <c r="Z503" s="20">
        <f>IF(AQ503="5",BJ503,0)</f>
        <v>0</v>
      </c>
      <c r="AB503" s="20">
        <f>IF(AQ503="1",BH503,0)</f>
        <v>0</v>
      </c>
      <c r="AC503" s="20">
        <f>IF(AQ503="1",BI503,0)</f>
        <v>0</v>
      </c>
      <c r="AD503" s="20">
        <f>IF(AQ503="7",BH503,0)</f>
        <v>0</v>
      </c>
      <c r="AE503" s="20">
        <f>IF(AQ503="7",BI503,0)</f>
        <v>0</v>
      </c>
      <c r="AF503" s="20">
        <f>IF(AQ503="2",BH503,0)</f>
        <v>0</v>
      </c>
      <c r="AG503" s="20">
        <f>IF(AQ503="2",BI503,0)</f>
        <v>0</v>
      </c>
      <c r="AH503" s="20">
        <f>IF(AQ503="0",BJ503,0)</f>
        <v>0</v>
      </c>
      <c r="AI503" s="14"/>
      <c r="AJ503" s="11">
        <f>IF(AN503=0,K503,0)</f>
        <v>0</v>
      </c>
      <c r="AK503" s="11">
        <f>IF(AN503=15,K503,0)</f>
        <v>0</v>
      </c>
      <c r="AL503" s="11">
        <f>IF(AN503=21,K503,0)</f>
        <v>0</v>
      </c>
      <c r="AN503" s="20">
        <v>21</v>
      </c>
      <c r="AO503" s="20">
        <f>H503*0</f>
        <v>0</v>
      </c>
      <c r="AP503" s="20">
        <f>H503*(1-0)</f>
        <v>0</v>
      </c>
      <c r="AQ503" s="21" t="s">
        <v>13</v>
      </c>
      <c r="AV503" s="20">
        <f>AW503+AX503</f>
        <v>0</v>
      </c>
      <c r="AW503" s="20">
        <f>G503*AO503</f>
        <v>0</v>
      </c>
      <c r="AX503" s="20">
        <f>G503*AP503</f>
        <v>0</v>
      </c>
      <c r="AY503" s="23" t="s">
        <v>941</v>
      </c>
      <c r="AZ503" s="23" t="s">
        <v>970</v>
      </c>
      <c r="BA503" s="14" t="s">
        <v>976</v>
      </c>
      <c r="BC503" s="20">
        <f>AW503+AX503</f>
        <v>0</v>
      </c>
      <c r="BD503" s="20">
        <f>H503/(100-BE503)*100</f>
        <v>0</v>
      </c>
      <c r="BE503" s="20">
        <v>0</v>
      </c>
      <c r="BF503" s="20">
        <f>M503</f>
        <v>1.11447</v>
      </c>
      <c r="BH503" s="11">
        <f>G503*AO503</f>
        <v>0</v>
      </c>
      <c r="BI503" s="11">
        <f>G503*AP503</f>
        <v>0</v>
      </c>
      <c r="BJ503" s="11">
        <f>G503*H503</f>
        <v>0</v>
      </c>
      <c r="BK503" s="11" t="s">
        <v>981</v>
      </c>
      <c r="BL503" s="20">
        <v>766</v>
      </c>
    </row>
    <row r="504" spans="1:15" ht="12.75">
      <c r="A504" s="1"/>
      <c r="D504" s="8" t="s">
        <v>634</v>
      </c>
      <c r="E504" s="9" t="s">
        <v>829</v>
      </c>
      <c r="G504" s="12">
        <v>28.9965</v>
      </c>
      <c r="N504" s="16"/>
      <c r="O504" s="1"/>
    </row>
    <row r="505" spans="1:15" ht="12.75">
      <c r="A505" s="1"/>
      <c r="D505" s="8" t="s">
        <v>635</v>
      </c>
      <c r="E505" s="9" t="s">
        <v>830</v>
      </c>
      <c r="G505" s="12">
        <v>5.408</v>
      </c>
      <c r="N505" s="16"/>
      <c r="O505" s="1"/>
    </row>
    <row r="506" spans="1:15" ht="12.75">
      <c r="A506" s="1"/>
      <c r="D506" s="8" t="s">
        <v>636</v>
      </c>
      <c r="E506" s="9" t="s">
        <v>817</v>
      </c>
      <c r="G506" s="12">
        <v>9.1195</v>
      </c>
      <c r="N506" s="16"/>
      <c r="O506" s="1"/>
    </row>
    <row r="507" spans="1:15" ht="12.75">
      <c r="A507" s="1"/>
      <c r="D507" s="8" t="s">
        <v>634</v>
      </c>
      <c r="E507" s="9" t="s">
        <v>832</v>
      </c>
      <c r="G507" s="12">
        <v>28.9965</v>
      </c>
      <c r="N507" s="16"/>
      <c r="O507" s="1"/>
    </row>
    <row r="508" spans="1:15" ht="12.75">
      <c r="A508" s="1"/>
      <c r="D508" s="8" t="s">
        <v>635</v>
      </c>
      <c r="E508" s="9" t="s">
        <v>831</v>
      </c>
      <c r="G508" s="12">
        <v>5.408</v>
      </c>
      <c r="N508" s="16"/>
      <c r="O508" s="1"/>
    </row>
    <row r="509" spans="1:15" ht="12.75">
      <c r="A509" s="1"/>
      <c r="D509" s="8" t="s">
        <v>636</v>
      </c>
      <c r="E509" s="9" t="s">
        <v>833</v>
      </c>
      <c r="G509" s="12">
        <v>9.1195</v>
      </c>
      <c r="N509" s="16"/>
      <c r="O509" s="1"/>
    </row>
    <row r="510" spans="1:15" ht="12.75">
      <c r="A510" s="1"/>
      <c r="D510" s="8" t="s">
        <v>637</v>
      </c>
      <c r="E510" s="9" t="s">
        <v>818</v>
      </c>
      <c r="G510" s="12">
        <v>14.456</v>
      </c>
      <c r="N510" s="16"/>
      <c r="O510" s="1"/>
    </row>
    <row r="511" spans="1:64" ht="12.75">
      <c r="A511" s="60" t="s">
        <v>102</v>
      </c>
      <c r="B511" s="5"/>
      <c r="C511" s="5" t="s">
        <v>272</v>
      </c>
      <c r="D511" s="176" t="s">
        <v>638</v>
      </c>
      <c r="E511" s="177"/>
      <c r="F511" s="5" t="s">
        <v>881</v>
      </c>
      <c r="G511" s="11">
        <v>101.5</v>
      </c>
      <c r="H511" s="103"/>
      <c r="I511" s="11">
        <f>G511*AO511</f>
        <v>0</v>
      </c>
      <c r="J511" s="11">
        <f>G511*AP511</f>
        <v>0</v>
      </c>
      <c r="K511" s="11">
        <f>G511*H511</f>
        <v>0</v>
      </c>
      <c r="L511" s="11">
        <v>0.008</v>
      </c>
      <c r="M511" s="11">
        <f>G511*L511</f>
        <v>0.812</v>
      </c>
      <c r="N511" s="15" t="s">
        <v>912</v>
      </c>
      <c r="O511" s="1"/>
      <c r="Z511" s="20">
        <f>IF(AQ511="5",BJ511,0)</f>
        <v>0</v>
      </c>
      <c r="AB511" s="20">
        <f>IF(AQ511="1",BH511,0)</f>
        <v>0</v>
      </c>
      <c r="AC511" s="20">
        <f>IF(AQ511="1",BI511,0)</f>
        <v>0</v>
      </c>
      <c r="AD511" s="20">
        <f>IF(AQ511="7",BH511,0)</f>
        <v>0</v>
      </c>
      <c r="AE511" s="20">
        <f>IF(AQ511="7",BI511,0)</f>
        <v>0</v>
      </c>
      <c r="AF511" s="20">
        <f>IF(AQ511="2",BH511,0)</f>
        <v>0</v>
      </c>
      <c r="AG511" s="20">
        <f>IF(AQ511="2",BI511,0)</f>
        <v>0</v>
      </c>
      <c r="AH511" s="20">
        <f>IF(AQ511="0",BJ511,0)</f>
        <v>0</v>
      </c>
      <c r="AI511" s="14"/>
      <c r="AJ511" s="11">
        <f>IF(AN511=0,K511,0)</f>
        <v>0</v>
      </c>
      <c r="AK511" s="11">
        <f>IF(AN511=15,K511,0)</f>
        <v>0</v>
      </c>
      <c r="AL511" s="11">
        <f>IF(AN511=21,K511,0)</f>
        <v>0</v>
      </c>
      <c r="AN511" s="20">
        <v>21</v>
      </c>
      <c r="AO511" s="20">
        <f>H511*0</f>
        <v>0</v>
      </c>
      <c r="AP511" s="20">
        <f>H511*(1-0)</f>
        <v>0</v>
      </c>
      <c r="AQ511" s="21" t="s">
        <v>13</v>
      </c>
      <c r="AV511" s="20">
        <f>AW511+AX511</f>
        <v>0</v>
      </c>
      <c r="AW511" s="20">
        <f>G511*AO511</f>
        <v>0</v>
      </c>
      <c r="AX511" s="20">
        <f>G511*AP511</f>
        <v>0</v>
      </c>
      <c r="AY511" s="23" t="s">
        <v>941</v>
      </c>
      <c r="AZ511" s="23" t="s">
        <v>970</v>
      </c>
      <c r="BA511" s="14" t="s">
        <v>976</v>
      </c>
      <c r="BC511" s="20">
        <f>AW511+AX511</f>
        <v>0</v>
      </c>
      <c r="BD511" s="20">
        <f>H511/(100-BE511)*100</f>
        <v>0</v>
      </c>
      <c r="BE511" s="20">
        <v>0</v>
      </c>
      <c r="BF511" s="20">
        <f>M511</f>
        <v>0.812</v>
      </c>
      <c r="BH511" s="11">
        <f>G511*AO511</f>
        <v>0</v>
      </c>
      <c r="BI511" s="11">
        <f>G511*AP511</f>
        <v>0</v>
      </c>
      <c r="BJ511" s="11">
        <f>G511*H511</f>
        <v>0</v>
      </c>
      <c r="BK511" s="11" t="s">
        <v>981</v>
      </c>
      <c r="BL511" s="20">
        <v>766</v>
      </c>
    </row>
    <row r="512" spans="1:15" ht="12.75">
      <c r="A512" s="1"/>
      <c r="D512" s="8" t="s">
        <v>634</v>
      </c>
      <c r="E512" s="9" t="s">
        <v>829</v>
      </c>
      <c r="G512" s="12">
        <v>28.9965</v>
      </c>
      <c r="N512" s="16"/>
      <c r="O512" s="1"/>
    </row>
    <row r="513" spans="1:15" ht="12.75">
      <c r="A513" s="1"/>
      <c r="D513" s="8" t="s">
        <v>635</v>
      </c>
      <c r="E513" s="9" t="s">
        <v>830</v>
      </c>
      <c r="G513" s="12">
        <v>5.408</v>
      </c>
      <c r="N513" s="16"/>
      <c r="O513" s="1"/>
    </row>
    <row r="514" spans="1:15" ht="12.75">
      <c r="A514" s="1"/>
      <c r="D514" s="8" t="s">
        <v>636</v>
      </c>
      <c r="E514" s="9" t="s">
        <v>817</v>
      </c>
      <c r="G514" s="12">
        <v>9.1195</v>
      </c>
      <c r="N514" s="16"/>
      <c r="O514" s="1"/>
    </row>
    <row r="515" spans="1:15" ht="12.75">
      <c r="A515" s="1"/>
      <c r="D515" s="8" t="s">
        <v>635</v>
      </c>
      <c r="E515" s="9" t="s">
        <v>831</v>
      </c>
      <c r="G515" s="12">
        <v>5.408</v>
      </c>
      <c r="N515" s="16"/>
      <c r="O515" s="1"/>
    </row>
    <row r="516" spans="1:15" ht="12.75">
      <c r="A516" s="1"/>
      <c r="D516" s="8" t="s">
        <v>634</v>
      </c>
      <c r="E516" s="9" t="s">
        <v>832</v>
      </c>
      <c r="G516" s="12">
        <v>28.9965</v>
      </c>
      <c r="N516" s="16"/>
      <c r="O516" s="1"/>
    </row>
    <row r="517" spans="1:15" ht="12.75">
      <c r="A517" s="1"/>
      <c r="D517" s="8" t="s">
        <v>637</v>
      </c>
      <c r="E517" s="9" t="s">
        <v>818</v>
      </c>
      <c r="G517" s="12">
        <v>14.456</v>
      </c>
      <c r="N517" s="16"/>
      <c r="O517" s="1"/>
    </row>
    <row r="518" spans="1:15" ht="12.75">
      <c r="A518" s="1"/>
      <c r="D518" s="8" t="s">
        <v>636</v>
      </c>
      <c r="E518" s="9" t="s">
        <v>833</v>
      </c>
      <c r="G518" s="12">
        <v>9.1195</v>
      </c>
      <c r="N518" s="16"/>
      <c r="O518" s="1"/>
    </row>
    <row r="519" spans="1:64" ht="12.75">
      <c r="A519" s="60" t="s">
        <v>103</v>
      </c>
      <c r="B519" s="5"/>
      <c r="C519" s="5" t="s">
        <v>273</v>
      </c>
      <c r="D519" s="159" t="s">
        <v>639</v>
      </c>
      <c r="E519" s="150"/>
      <c r="F519" s="5" t="s">
        <v>887</v>
      </c>
      <c r="G519" s="11">
        <v>2.54</v>
      </c>
      <c r="H519" s="103"/>
      <c r="I519" s="11">
        <f>G519*AO519</f>
        <v>0</v>
      </c>
      <c r="J519" s="11">
        <f>G519*AP519</f>
        <v>0</v>
      </c>
      <c r="K519" s="11">
        <f>G519*H519</f>
        <v>0</v>
      </c>
      <c r="L519" s="11">
        <v>0</v>
      </c>
      <c r="M519" s="11">
        <f>G519*L519</f>
        <v>0</v>
      </c>
      <c r="N519" s="15" t="s">
        <v>912</v>
      </c>
      <c r="O519" s="1"/>
      <c r="Z519" s="20">
        <f>IF(AQ519="5",BJ519,0)</f>
        <v>0</v>
      </c>
      <c r="AB519" s="20">
        <f>IF(AQ519="1",BH519,0)</f>
        <v>0</v>
      </c>
      <c r="AC519" s="20">
        <f>IF(AQ519="1",BI519,0)</f>
        <v>0</v>
      </c>
      <c r="AD519" s="20">
        <f>IF(AQ519="7",BH519,0)</f>
        <v>0</v>
      </c>
      <c r="AE519" s="20">
        <f>IF(AQ519="7",BI519,0)</f>
        <v>0</v>
      </c>
      <c r="AF519" s="20">
        <f>IF(AQ519="2",BH519,0)</f>
        <v>0</v>
      </c>
      <c r="AG519" s="20">
        <f>IF(AQ519="2",BI519,0)</f>
        <v>0</v>
      </c>
      <c r="AH519" s="20">
        <f>IF(AQ519="0",BJ519,0)</f>
        <v>0</v>
      </c>
      <c r="AI519" s="14"/>
      <c r="AJ519" s="11">
        <f>IF(AN519=0,K519,0)</f>
        <v>0</v>
      </c>
      <c r="AK519" s="11">
        <f>IF(AN519=15,K519,0)</f>
        <v>0</v>
      </c>
      <c r="AL519" s="11">
        <f>IF(AN519=21,K519,0)</f>
        <v>0</v>
      </c>
      <c r="AN519" s="20">
        <v>21</v>
      </c>
      <c r="AO519" s="20">
        <f>H519*0</f>
        <v>0</v>
      </c>
      <c r="AP519" s="20">
        <f>H519*(1-0)</f>
        <v>0</v>
      </c>
      <c r="AQ519" s="21" t="s">
        <v>11</v>
      </c>
      <c r="AV519" s="20">
        <f>AW519+AX519</f>
        <v>0</v>
      </c>
      <c r="AW519" s="20">
        <f>G519*AO519</f>
        <v>0</v>
      </c>
      <c r="AX519" s="20">
        <f>G519*AP519</f>
        <v>0</v>
      </c>
      <c r="AY519" s="23" t="s">
        <v>941</v>
      </c>
      <c r="AZ519" s="23" t="s">
        <v>970</v>
      </c>
      <c r="BA519" s="14" t="s">
        <v>976</v>
      </c>
      <c r="BC519" s="20">
        <f>AW519+AX519</f>
        <v>0</v>
      </c>
      <c r="BD519" s="20">
        <f>H519/(100-BE519)*100</f>
        <v>0</v>
      </c>
      <c r="BE519" s="20">
        <v>0</v>
      </c>
      <c r="BF519" s="20">
        <f>M519</f>
        <v>0</v>
      </c>
      <c r="BH519" s="11">
        <f>G519*AO519</f>
        <v>0</v>
      </c>
      <c r="BI519" s="11">
        <f>G519*AP519</f>
        <v>0</v>
      </c>
      <c r="BJ519" s="11">
        <f>G519*H519</f>
        <v>0</v>
      </c>
      <c r="BK519" s="11" t="s">
        <v>981</v>
      </c>
      <c r="BL519" s="20">
        <v>766</v>
      </c>
    </row>
    <row r="520" spans="1:47" ht="12.75">
      <c r="A520" s="2"/>
      <c r="B520" s="6"/>
      <c r="C520" s="6" t="s">
        <v>274</v>
      </c>
      <c r="D520" s="174" t="s">
        <v>640</v>
      </c>
      <c r="E520" s="175"/>
      <c r="F520" s="10" t="s">
        <v>6</v>
      </c>
      <c r="G520" s="10" t="s">
        <v>6</v>
      </c>
      <c r="H520" s="10"/>
      <c r="I520" s="25">
        <f>SUM(I521:I533)</f>
        <v>0</v>
      </c>
      <c r="J520" s="25">
        <f>SUM(J521:J533)</f>
        <v>0</v>
      </c>
      <c r="K520" s="25">
        <f>SUM(K521:K533)</f>
        <v>0</v>
      </c>
      <c r="L520" s="14"/>
      <c r="M520" s="25">
        <f>SUM(M521:M533)</f>
        <v>0.13993754000000003</v>
      </c>
      <c r="N520" s="17"/>
      <c r="O520" s="1"/>
      <c r="AI520" s="14"/>
      <c r="AS520" s="25">
        <f>SUM(AJ521:AJ533)</f>
        <v>0</v>
      </c>
      <c r="AT520" s="25">
        <f>SUM(AK521:AK533)</f>
        <v>0</v>
      </c>
      <c r="AU520" s="25">
        <f>SUM(AL521:AL533)</f>
        <v>0</v>
      </c>
    </row>
    <row r="521" spans="1:64" ht="12.75">
      <c r="A521" s="60" t="s">
        <v>104</v>
      </c>
      <c r="B521" s="5"/>
      <c r="C521" s="5" t="s">
        <v>275</v>
      </c>
      <c r="D521" s="176" t="s">
        <v>641</v>
      </c>
      <c r="E521" s="177"/>
      <c r="F521" s="5" t="s">
        <v>884</v>
      </c>
      <c r="G521" s="11">
        <v>120</v>
      </c>
      <c r="H521" s="103"/>
      <c r="I521" s="11">
        <f>G521*AO521</f>
        <v>0</v>
      </c>
      <c r="J521" s="11">
        <f>G521*AP521</f>
        <v>0</v>
      </c>
      <c r="K521" s="11">
        <f>G521*H521</f>
        <v>0</v>
      </c>
      <c r="L521" s="11">
        <v>0.00105</v>
      </c>
      <c r="M521" s="11">
        <f>G521*L521</f>
        <v>0.126</v>
      </c>
      <c r="N521" s="15" t="s">
        <v>912</v>
      </c>
      <c r="O521" s="1"/>
      <c r="Z521" s="20">
        <f>IF(AQ521="5",BJ521,0)</f>
        <v>0</v>
      </c>
      <c r="AB521" s="20">
        <f>IF(AQ521="1",BH521,0)</f>
        <v>0</v>
      </c>
      <c r="AC521" s="20">
        <f>IF(AQ521="1",BI521,0)</f>
        <v>0</v>
      </c>
      <c r="AD521" s="20">
        <f>IF(AQ521="7",BH521,0)</f>
        <v>0</v>
      </c>
      <c r="AE521" s="20">
        <f>IF(AQ521="7",BI521,0)</f>
        <v>0</v>
      </c>
      <c r="AF521" s="20">
        <f>IF(AQ521="2",BH521,0)</f>
        <v>0</v>
      </c>
      <c r="AG521" s="20">
        <f>IF(AQ521="2",BI521,0)</f>
        <v>0</v>
      </c>
      <c r="AH521" s="20">
        <f>IF(AQ521="0",BJ521,0)</f>
        <v>0</v>
      </c>
      <c r="AI521" s="14"/>
      <c r="AJ521" s="11">
        <f>IF(AN521=0,K521,0)</f>
        <v>0</v>
      </c>
      <c r="AK521" s="11">
        <f>IF(AN521=15,K521,0)</f>
        <v>0</v>
      </c>
      <c r="AL521" s="11">
        <f>IF(AN521=21,K521,0)</f>
        <v>0</v>
      </c>
      <c r="AN521" s="20">
        <v>21</v>
      </c>
      <c r="AO521" s="20">
        <f>H521*0.153691152225682</f>
        <v>0</v>
      </c>
      <c r="AP521" s="20">
        <f>H521*(1-0.153691152225682)</f>
        <v>0</v>
      </c>
      <c r="AQ521" s="21" t="s">
        <v>13</v>
      </c>
      <c r="AV521" s="20">
        <f>AW521+AX521</f>
        <v>0</v>
      </c>
      <c r="AW521" s="20">
        <f>G521*AO521</f>
        <v>0</v>
      </c>
      <c r="AX521" s="20">
        <f>G521*AP521</f>
        <v>0</v>
      </c>
      <c r="AY521" s="23" t="s">
        <v>942</v>
      </c>
      <c r="AZ521" s="23" t="s">
        <v>970</v>
      </c>
      <c r="BA521" s="14" t="s">
        <v>976</v>
      </c>
      <c r="BC521" s="20">
        <f>AW521+AX521</f>
        <v>0</v>
      </c>
      <c r="BD521" s="20">
        <f>H521/(100-BE521)*100</f>
        <v>0</v>
      </c>
      <c r="BE521" s="20">
        <v>0</v>
      </c>
      <c r="BF521" s="20">
        <f>M521</f>
        <v>0.126</v>
      </c>
      <c r="BH521" s="11">
        <f>G521*AO521</f>
        <v>0</v>
      </c>
      <c r="BI521" s="11">
        <f>G521*AP521</f>
        <v>0</v>
      </c>
      <c r="BJ521" s="11">
        <f>G521*H521</f>
        <v>0</v>
      </c>
      <c r="BK521" s="11" t="s">
        <v>981</v>
      </c>
      <c r="BL521" s="20">
        <v>767</v>
      </c>
    </row>
    <row r="522" spans="1:15" ht="12.75">
      <c r="A522" s="1"/>
      <c r="D522" s="8" t="s">
        <v>642</v>
      </c>
      <c r="E522" s="9" t="s">
        <v>853</v>
      </c>
      <c r="G522" s="12">
        <v>120</v>
      </c>
      <c r="N522" s="16"/>
      <c r="O522" s="1"/>
    </row>
    <row r="523" spans="1:64" ht="12.75">
      <c r="A523" s="60" t="s">
        <v>105</v>
      </c>
      <c r="B523" s="5"/>
      <c r="C523" s="5" t="s">
        <v>276</v>
      </c>
      <c r="D523" s="176" t="s">
        <v>643</v>
      </c>
      <c r="E523" s="177"/>
      <c r="F523" s="5" t="s">
        <v>884</v>
      </c>
      <c r="G523" s="11">
        <v>120</v>
      </c>
      <c r="H523" s="103"/>
      <c r="I523" s="11">
        <f>G523*AO523</f>
        <v>0</v>
      </c>
      <c r="J523" s="11">
        <f>G523*AP523</f>
        <v>0</v>
      </c>
      <c r="K523" s="11">
        <f>G523*H523</f>
        <v>0</v>
      </c>
      <c r="L523" s="11">
        <v>6E-05</v>
      </c>
      <c r="M523" s="11">
        <f>G523*L523</f>
        <v>0.0072</v>
      </c>
      <c r="N523" s="15" t="s">
        <v>912</v>
      </c>
      <c r="O523" s="1"/>
      <c r="Z523" s="20">
        <f>IF(AQ523="5",BJ523,0)</f>
        <v>0</v>
      </c>
      <c r="AB523" s="20">
        <f>IF(AQ523="1",BH523,0)</f>
        <v>0</v>
      </c>
      <c r="AC523" s="20">
        <f>IF(AQ523="1",BI523,0)</f>
        <v>0</v>
      </c>
      <c r="AD523" s="20">
        <f>IF(AQ523="7",BH523,0)</f>
        <v>0</v>
      </c>
      <c r="AE523" s="20">
        <f>IF(AQ523="7",BI523,0)</f>
        <v>0</v>
      </c>
      <c r="AF523" s="20">
        <f>IF(AQ523="2",BH523,0)</f>
        <v>0</v>
      </c>
      <c r="AG523" s="20">
        <f>IF(AQ523="2",BI523,0)</f>
        <v>0</v>
      </c>
      <c r="AH523" s="20">
        <f>IF(AQ523="0",BJ523,0)</f>
        <v>0</v>
      </c>
      <c r="AI523" s="14"/>
      <c r="AJ523" s="11">
        <f>IF(AN523=0,K523,0)</f>
        <v>0</v>
      </c>
      <c r="AK523" s="11">
        <f>IF(AN523=15,K523,0)</f>
        <v>0</v>
      </c>
      <c r="AL523" s="11">
        <f>IF(AN523=21,K523,0)</f>
        <v>0</v>
      </c>
      <c r="AN523" s="20">
        <v>21</v>
      </c>
      <c r="AO523" s="20">
        <f>H523*0.108477366255144</f>
        <v>0</v>
      </c>
      <c r="AP523" s="20">
        <f>H523*(1-0.108477366255144)</f>
        <v>0</v>
      </c>
      <c r="AQ523" s="21" t="s">
        <v>13</v>
      </c>
      <c r="AV523" s="20">
        <f>AW523+AX523</f>
        <v>0</v>
      </c>
      <c r="AW523" s="20">
        <f>G523*AO523</f>
        <v>0</v>
      </c>
      <c r="AX523" s="20">
        <f>G523*AP523</f>
        <v>0</v>
      </c>
      <c r="AY523" s="23" t="s">
        <v>942</v>
      </c>
      <c r="AZ523" s="23" t="s">
        <v>970</v>
      </c>
      <c r="BA523" s="14" t="s">
        <v>976</v>
      </c>
      <c r="BC523" s="20">
        <f>AW523+AX523</f>
        <v>0</v>
      </c>
      <c r="BD523" s="20">
        <f>H523/(100-BE523)*100</f>
        <v>0</v>
      </c>
      <c r="BE523" s="20">
        <v>0</v>
      </c>
      <c r="BF523" s="20">
        <f>M523</f>
        <v>0.0072</v>
      </c>
      <c r="BH523" s="11">
        <f>G523*AO523</f>
        <v>0</v>
      </c>
      <c r="BI523" s="11">
        <f>G523*AP523</f>
        <v>0</v>
      </c>
      <c r="BJ523" s="11">
        <f>G523*H523</f>
        <v>0</v>
      </c>
      <c r="BK523" s="11" t="s">
        <v>981</v>
      </c>
      <c r="BL523" s="20">
        <v>767</v>
      </c>
    </row>
    <row r="524" spans="1:15" ht="12.75">
      <c r="A524" s="1"/>
      <c r="D524" s="8" t="s">
        <v>642</v>
      </c>
      <c r="E524" s="9" t="s">
        <v>854</v>
      </c>
      <c r="G524" s="12">
        <v>120</v>
      </c>
      <c r="N524" s="16"/>
      <c r="O524" s="1"/>
    </row>
    <row r="525" spans="1:64" ht="12.75">
      <c r="A525" s="62" t="s">
        <v>106</v>
      </c>
      <c r="B525" s="47"/>
      <c r="C525" s="47" t="s">
        <v>277</v>
      </c>
      <c r="D525" s="183" t="s">
        <v>644</v>
      </c>
      <c r="E525" s="184"/>
      <c r="F525" s="47" t="s">
        <v>883</v>
      </c>
      <c r="G525" s="52">
        <v>434.68</v>
      </c>
      <c r="H525" s="105"/>
      <c r="I525" s="52">
        <f>G525*AO525</f>
        <v>0</v>
      </c>
      <c r="J525" s="52">
        <f>G525*AP525</f>
        <v>0</v>
      </c>
      <c r="K525" s="52">
        <f>G525*H525</f>
        <v>0</v>
      </c>
      <c r="L525" s="52">
        <v>0</v>
      </c>
      <c r="M525" s="52">
        <f>G525*L525</f>
        <v>0</v>
      </c>
      <c r="N525" s="43" t="s">
        <v>912</v>
      </c>
      <c r="O525" s="44"/>
      <c r="Z525" s="20">
        <f>IF(AQ525="5",BJ525,0)</f>
        <v>0</v>
      </c>
      <c r="AB525" s="20">
        <f>IF(AQ525="1",BH525,0)</f>
        <v>0</v>
      </c>
      <c r="AC525" s="20">
        <f>IF(AQ525="1",BI525,0)</f>
        <v>0</v>
      </c>
      <c r="AD525" s="20">
        <f>IF(AQ525="7",BH525,0)</f>
        <v>0</v>
      </c>
      <c r="AE525" s="20">
        <f>IF(AQ525="7",BI525,0)</f>
        <v>0</v>
      </c>
      <c r="AF525" s="20">
        <f>IF(AQ525="2",BH525,0)</f>
        <v>0</v>
      </c>
      <c r="AG525" s="20">
        <f>IF(AQ525="2",BI525,0)</f>
        <v>0</v>
      </c>
      <c r="AH525" s="20">
        <f>IF(AQ525="0",BJ525,0)</f>
        <v>0</v>
      </c>
      <c r="AI525" s="14"/>
      <c r="AJ525" s="11">
        <f>IF(AN525=0,K525,0)</f>
        <v>0</v>
      </c>
      <c r="AK525" s="11">
        <f>IF(AN525=15,K525,0)</f>
        <v>0</v>
      </c>
      <c r="AL525" s="11">
        <f>IF(AN525=21,K525,0)</f>
        <v>0</v>
      </c>
      <c r="AN525" s="20">
        <v>21</v>
      </c>
      <c r="AO525" s="20">
        <f>H525*0</f>
        <v>0</v>
      </c>
      <c r="AP525" s="20">
        <f>H525*(1-0)</f>
        <v>0</v>
      </c>
      <c r="AQ525" s="21" t="s">
        <v>13</v>
      </c>
      <c r="AV525" s="20">
        <f>AW525+AX525</f>
        <v>0</v>
      </c>
      <c r="AW525" s="20">
        <f>G525*AO525</f>
        <v>0</v>
      </c>
      <c r="AX525" s="20">
        <f>G525*AP525</f>
        <v>0</v>
      </c>
      <c r="AY525" s="23" t="s">
        <v>942</v>
      </c>
      <c r="AZ525" s="23" t="s">
        <v>970</v>
      </c>
      <c r="BA525" s="14" t="s">
        <v>976</v>
      </c>
      <c r="BC525" s="20">
        <f>AW525+AX525</f>
        <v>0</v>
      </c>
      <c r="BD525" s="20">
        <f>H525/(100-BE525)*100</f>
        <v>0</v>
      </c>
      <c r="BE525" s="20">
        <v>0</v>
      </c>
      <c r="BF525" s="20">
        <f>M525</f>
        <v>0</v>
      </c>
      <c r="BH525" s="11">
        <f>G525*AO525</f>
        <v>0</v>
      </c>
      <c r="BI525" s="11">
        <f>G525*AP525</f>
        <v>0</v>
      </c>
      <c r="BJ525" s="11">
        <f>G525*H525</f>
        <v>0</v>
      </c>
      <c r="BK525" s="11" t="s">
        <v>981</v>
      </c>
      <c r="BL525" s="20">
        <v>767</v>
      </c>
    </row>
    <row r="526" spans="1:15" ht="12.75">
      <c r="A526" s="54"/>
      <c r="B526" s="55"/>
      <c r="C526" s="55"/>
      <c r="D526" s="56" t="s">
        <v>645</v>
      </c>
      <c r="E526" s="57" t="s">
        <v>855</v>
      </c>
      <c r="F526" s="55"/>
      <c r="G526" s="58">
        <v>279.18</v>
      </c>
      <c r="H526" s="55"/>
      <c r="I526" s="55"/>
      <c r="J526" s="55"/>
      <c r="K526" s="55"/>
      <c r="L526" s="55"/>
      <c r="M526" s="55"/>
      <c r="N526" s="45"/>
      <c r="O526" s="44"/>
    </row>
    <row r="527" spans="1:15" ht="12.75">
      <c r="A527" s="54"/>
      <c r="B527" s="55"/>
      <c r="C527" s="55"/>
      <c r="D527" s="56" t="s">
        <v>646</v>
      </c>
      <c r="E527" s="57" t="s">
        <v>856</v>
      </c>
      <c r="F527" s="55"/>
      <c r="G527" s="58">
        <v>103.5</v>
      </c>
      <c r="H527" s="55"/>
      <c r="I527" s="55"/>
      <c r="J527" s="55"/>
      <c r="K527" s="55"/>
      <c r="L527" s="55"/>
      <c r="M527" s="55"/>
      <c r="N527" s="45"/>
      <c r="O527" s="44"/>
    </row>
    <row r="528" spans="1:15" ht="12.75">
      <c r="A528" s="48"/>
      <c r="B528" s="49"/>
      <c r="C528" s="49"/>
      <c r="D528" s="50" t="s">
        <v>647</v>
      </c>
      <c r="E528" s="51" t="s">
        <v>857</v>
      </c>
      <c r="F528" s="49"/>
      <c r="G528" s="53">
        <v>52</v>
      </c>
      <c r="H528" s="49"/>
      <c r="I528" s="49"/>
      <c r="J528" s="49"/>
      <c r="K528" s="49"/>
      <c r="L528" s="49"/>
      <c r="M528" s="49"/>
      <c r="N528" s="46"/>
      <c r="O528" s="44"/>
    </row>
    <row r="529" spans="1:64" ht="12.75">
      <c r="A529" s="61" t="s">
        <v>107</v>
      </c>
      <c r="B529" s="7"/>
      <c r="C529" s="7" t="s">
        <v>278</v>
      </c>
      <c r="D529" s="179" t="s">
        <v>648</v>
      </c>
      <c r="E529" s="180"/>
      <c r="F529" s="7" t="s">
        <v>886</v>
      </c>
      <c r="G529" s="13">
        <v>21.734</v>
      </c>
      <c r="H529" s="104"/>
      <c r="I529" s="13">
        <f>G529*AO529</f>
        <v>0</v>
      </c>
      <c r="J529" s="13">
        <f>G529*AP529</f>
        <v>0</v>
      </c>
      <c r="K529" s="13">
        <f>G529*H529</f>
        <v>0</v>
      </c>
      <c r="L529" s="13">
        <v>0.00031</v>
      </c>
      <c r="M529" s="13">
        <f>G529*L529</f>
        <v>0.00673754</v>
      </c>
      <c r="N529" s="18" t="s">
        <v>913</v>
      </c>
      <c r="O529" s="1"/>
      <c r="Z529" s="20">
        <f>IF(AQ529="5",BJ529,0)</f>
        <v>0</v>
      </c>
      <c r="AB529" s="20">
        <f>IF(AQ529="1",BH529,0)</f>
        <v>0</v>
      </c>
      <c r="AC529" s="20">
        <f>IF(AQ529="1",BI529,0)</f>
        <v>0</v>
      </c>
      <c r="AD529" s="20">
        <f>IF(AQ529="7",BH529,0)</f>
        <v>0</v>
      </c>
      <c r="AE529" s="20">
        <f>IF(AQ529="7",BI529,0)</f>
        <v>0</v>
      </c>
      <c r="AF529" s="20">
        <f>IF(AQ529="2",BH529,0)</f>
        <v>0</v>
      </c>
      <c r="AG529" s="20">
        <f>IF(AQ529="2",BI529,0)</f>
        <v>0</v>
      </c>
      <c r="AH529" s="20">
        <f>IF(AQ529="0",BJ529,0)</f>
        <v>0</v>
      </c>
      <c r="AI529" s="14"/>
      <c r="AJ529" s="13">
        <f>IF(AN529=0,K529,0)</f>
        <v>0</v>
      </c>
      <c r="AK529" s="13">
        <f>IF(AN529=15,K529,0)</f>
        <v>0</v>
      </c>
      <c r="AL529" s="13">
        <f>IF(AN529=21,K529,0)</f>
        <v>0</v>
      </c>
      <c r="AN529" s="20">
        <v>21</v>
      </c>
      <c r="AO529" s="20">
        <f>H529*1</f>
        <v>0</v>
      </c>
      <c r="AP529" s="20">
        <f>H529*(1-1)</f>
        <v>0</v>
      </c>
      <c r="AQ529" s="22" t="s">
        <v>13</v>
      </c>
      <c r="AV529" s="20">
        <f>AW529+AX529</f>
        <v>0</v>
      </c>
      <c r="AW529" s="20">
        <f>G529*AO529</f>
        <v>0</v>
      </c>
      <c r="AX529" s="20">
        <f>G529*AP529</f>
        <v>0</v>
      </c>
      <c r="AY529" s="23" t="s">
        <v>942</v>
      </c>
      <c r="AZ529" s="23" t="s">
        <v>970</v>
      </c>
      <c r="BA529" s="14" t="s">
        <v>976</v>
      </c>
      <c r="BC529" s="20">
        <f>AW529+AX529</f>
        <v>0</v>
      </c>
      <c r="BD529" s="20">
        <f>H529/(100-BE529)*100</f>
        <v>0</v>
      </c>
      <c r="BE529" s="20">
        <v>0</v>
      </c>
      <c r="BF529" s="20">
        <f>M529</f>
        <v>0.00673754</v>
      </c>
      <c r="BH529" s="13">
        <f>G529*AO529</f>
        <v>0</v>
      </c>
      <c r="BI529" s="13">
        <f>G529*AP529</f>
        <v>0</v>
      </c>
      <c r="BJ529" s="13">
        <f>G529*H529</f>
        <v>0</v>
      </c>
      <c r="BK529" s="13" t="s">
        <v>982</v>
      </c>
      <c r="BL529" s="20">
        <v>767</v>
      </c>
    </row>
    <row r="530" spans="1:15" ht="12.75">
      <c r="A530" s="1"/>
      <c r="D530" s="8" t="s">
        <v>649</v>
      </c>
      <c r="E530" s="9" t="s">
        <v>855</v>
      </c>
      <c r="G530" s="12">
        <v>13.959</v>
      </c>
      <c r="N530" s="16"/>
      <c r="O530" s="1"/>
    </row>
    <row r="531" spans="1:15" ht="12.75">
      <c r="A531" s="1"/>
      <c r="D531" s="8" t="s">
        <v>650</v>
      </c>
      <c r="E531" s="9" t="s">
        <v>856</v>
      </c>
      <c r="G531" s="12">
        <v>5.175</v>
      </c>
      <c r="N531" s="16"/>
      <c r="O531" s="1"/>
    </row>
    <row r="532" spans="1:15" ht="12.75">
      <c r="A532" s="1"/>
      <c r="D532" s="8" t="s">
        <v>651</v>
      </c>
      <c r="E532" s="9" t="s">
        <v>857</v>
      </c>
      <c r="G532" s="12">
        <v>2.6</v>
      </c>
      <c r="N532" s="16"/>
      <c r="O532" s="1"/>
    </row>
    <row r="533" spans="1:64" ht="12.75">
      <c r="A533" s="60" t="s">
        <v>108</v>
      </c>
      <c r="B533" s="5"/>
      <c r="C533" s="5" t="s">
        <v>279</v>
      </c>
      <c r="D533" s="176" t="s">
        <v>652</v>
      </c>
      <c r="E533" s="177"/>
      <c r="F533" s="5" t="s">
        <v>890</v>
      </c>
      <c r="G533" s="11">
        <v>0.0787</v>
      </c>
      <c r="H533" s="103"/>
      <c r="I533" s="11">
        <f>G533*AO533</f>
        <v>0</v>
      </c>
      <c r="J533" s="11">
        <f>G533*AP533</f>
        <v>0</v>
      </c>
      <c r="K533" s="11">
        <f>G533*H533</f>
        <v>0</v>
      </c>
      <c r="L533" s="11">
        <v>0</v>
      </c>
      <c r="M533" s="11">
        <f>G533*L533</f>
        <v>0</v>
      </c>
      <c r="N533" s="15" t="s">
        <v>912</v>
      </c>
      <c r="O533" s="1"/>
      <c r="Z533" s="20">
        <f>IF(AQ533="5",BJ533,0)</f>
        <v>0</v>
      </c>
      <c r="AB533" s="20">
        <f>IF(AQ533="1",BH533,0)</f>
        <v>0</v>
      </c>
      <c r="AC533" s="20">
        <f>IF(AQ533="1",BI533,0)</f>
        <v>0</v>
      </c>
      <c r="AD533" s="20">
        <f>IF(AQ533="7",BH533,0)</f>
        <v>0</v>
      </c>
      <c r="AE533" s="20">
        <f>IF(AQ533="7",BI533,0)</f>
        <v>0</v>
      </c>
      <c r="AF533" s="20">
        <f>IF(AQ533="2",BH533,0)</f>
        <v>0</v>
      </c>
      <c r="AG533" s="20">
        <f>IF(AQ533="2",BI533,0)</f>
        <v>0</v>
      </c>
      <c r="AH533" s="20">
        <f>IF(AQ533="0",BJ533,0)</f>
        <v>0</v>
      </c>
      <c r="AI533" s="14"/>
      <c r="AJ533" s="11">
        <f>IF(AN533=0,K533,0)</f>
        <v>0</v>
      </c>
      <c r="AK533" s="11">
        <f>IF(AN533=15,K533,0)</f>
        <v>0</v>
      </c>
      <c r="AL533" s="11">
        <f>IF(AN533=21,K533,0)</f>
        <v>0</v>
      </c>
      <c r="AN533" s="20">
        <v>21</v>
      </c>
      <c r="AO533" s="20">
        <f>H533*0</f>
        <v>0</v>
      </c>
      <c r="AP533" s="20">
        <f>H533*(1-0)</f>
        <v>0</v>
      </c>
      <c r="AQ533" s="21" t="s">
        <v>11</v>
      </c>
      <c r="AV533" s="20">
        <f>AW533+AX533</f>
        <v>0</v>
      </c>
      <c r="AW533" s="20">
        <f>G533*AO533</f>
        <v>0</v>
      </c>
      <c r="AX533" s="20">
        <f>G533*AP533</f>
        <v>0</v>
      </c>
      <c r="AY533" s="23" t="s">
        <v>942</v>
      </c>
      <c r="AZ533" s="23" t="s">
        <v>970</v>
      </c>
      <c r="BA533" s="14" t="s">
        <v>976</v>
      </c>
      <c r="BC533" s="20">
        <f>AW533+AX533</f>
        <v>0</v>
      </c>
      <c r="BD533" s="20">
        <f>H533/(100-BE533)*100</f>
        <v>0</v>
      </c>
      <c r="BE533" s="20">
        <v>0</v>
      </c>
      <c r="BF533" s="20">
        <f>M533</f>
        <v>0</v>
      </c>
      <c r="BH533" s="11">
        <f>G533*AO533</f>
        <v>0</v>
      </c>
      <c r="BI533" s="11">
        <f>G533*AP533</f>
        <v>0</v>
      </c>
      <c r="BJ533" s="11">
        <f>G533*H533</f>
        <v>0</v>
      </c>
      <c r="BK533" s="11" t="s">
        <v>981</v>
      </c>
      <c r="BL533" s="20">
        <v>767</v>
      </c>
    </row>
    <row r="534" spans="1:47" ht="12.75">
      <c r="A534" s="2"/>
      <c r="B534" s="6"/>
      <c r="C534" s="6" t="s">
        <v>280</v>
      </c>
      <c r="D534" s="174" t="s">
        <v>653</v>
      </c>
      <c r="E534" s="175"/>
      <c r="F534" s="10" t="s">
        <v>6</v>
      </c>
      <c r="G534" s="10" t="s">
        <v>6</v>
      </c>
      <c r="H534" s="10"/>
      <c r="I534" s="25">
        <f>SUM(I535:I545)</f>
        <v>0</v>
      </c>
      <c r="J534" s="25">
        <f>SUM(J535:J545)</f>
        <v>0</v>
      </c>
      <c r="K534" s="25">
        <f>SUM(K535:K545)</f>
        <v>0</v>
      </c>
      <c r="L534" s="14"/>
      <c r="M534" s="25">
        <f>SUM(M535:M545)</f>
        <v>0.48744819500000003</v>
      </c>
      <c r="N534" s="17"/>
      <c r="O534" s="1"/>
      <c r="AI534" s="14"/>
      <c r="AS534" s="25">
        <f>SUM(AJ535:AJ545)</f>
        <v>0</v>
      </c>
      <c r="AT534" s="25">
        <f>SUM(AK535:AK545)</f>
        <v>0</v>
      </c>
      <c r="AU534" s="25">
        <f>SUM(AL535:AL545)</f>
        <v>0</v>
      </c>
    </row>
    <row r="535" spans="1:64" ht="12.75">
      <c r="A535" s="60" t="s">
        <v>109</v>
      </c>
      <c r="B535" s="5"/>
      <c r="C535" s="5" t="s">
        <v>281</v>
      </c>
      <c r="D535" s="176" t="s">
        <v>654</v>
      </c>
      <c r="E535" s="177"/>
      <c r="F535" s="5" t="s">
        <v>881</v>
      </c>
      <c r="G535" s="11">
        <v>675.2662</v>
      </c>
      <c r="H535" s="103"/>
      <c r="I535" s="11">
        <f>G535*AO535</f>
        <v>0</v>
      </c>
      <c r="J535" s="11">
        <f>G535*AP535</f>
        <v>0</v>
      </c>
      <c r="K535" s="11">
        <f>G535*H535</f>
        <v>0</v>
      </c>
      <c r="L535" s="11">
        <v>0.0002</v>
      </c>
      <c r="M535" s="11">
        <f>G535*L535</f>
        <v>0.13505324000000002</v>
      </c>
      <c r="N535" s="15" t="s">
        <v>912</v>
      </c>
      <c r="O535" s="1"/>
      <c r="Z535" s="20">
        <f>IF(AQ535="5",BJ535,0)</f>
        <v>0</v>
      </c>
      <c r="AB535" s="20">
        <f>IF(AQ535="1",BH535,0)</f>
        <v>0</v>
      </c>
      <c r="AC535" s="20">
        <f>IF(AQ535="1",BI535,0)</f>
        <v>0</v>
      </c>
      <c r="AD535" s="20">
        <f>IF(AQ535="7",BH535,0)</f>
        <v>0</v>
      </c>
      <c r="AE535" s="20">
        <f>IF(AQ535="7",BI535,0)</f>
        <v>0</v>
      </c>
      <c r="AF535" s="20">
        <f>IF(AQ535="2",BH535,0)</f>
        <v>0</v>
      </c>
      <c r="AG535" s="20">
        <f>IF(AQ535="2",BI535,0)</f>
        <v>0</v>
      </c>
      <c r="AH535" s="20">
        <f>IF(AQ535="0",BJ535,0)</f>
        <v>0</v>
      </c>
      <c r="AI535" s="14"/>
      <c r="AJ535" s="11">
        <f>IF(AN535=0,K535,0)</f>
        <v>0</v>
      </c>
      <c r="AK535" s="11">
        <f>IF(AN535=15,K535,0)</f>
        <v>0</v>
      </c>
      <c r="AL535" s="11">
        <f>IF(AN535=21,K535,0)</f>
        <v>0</v>
      </c>
      <c r="AN535" s="20">
        <v>21</v>
      </c>
      <c r="AO535" s="20">
        <f>H535*0.158422112442637</f>
        <v>0</v>
      </c>
      <c r="AP535" s="20">
        <f>H535*(1-0.158422112442637)</f>
        <v>0</v>
      </c>
      <c r="AQ535" s="21" t="s">
        <v>13</v>
      </c>
      <c r="AV535" s="20">
        <f>AW535+AX535</f>
        <v>0</v>
      </c>
      <c r="AW535" s="20">
        <f>G535*AO535</f>
        <v>0</v>
      </c>
      <c r="AX535" s="20">
        <f>G535*AP535</f>
        <v>0</v>
      </c>
      <c r="AY535" s="23" t="s">
        <v>943</v>
      </c>
      <c r="AZ535" s="23" t="s">
        <v>971</v>
      </c>
      <c r="BA535" s="14" t="s">
        <v>976</v>
      </c>
      <c r="BC535" s="20">
        <f>AW535+AX535</f>
        <v>0</v>
      </c>
      <c r="BD535" s="20">
        <f>H535/(100-BE535)*100</f>
        <v>0</v>
      </c>
      <c r="BE535" s="20">
        <v>0</v>
      </c>
      <c r="BF535" s="20">
        <f>M535</f>
        <v>0.13505324000000002</v>
      </c>
      <c r="BH535" s="11">
        <f>G535*AO535</f>
        <v>0</v>
      </c>
      <c r="BI535" s="11">
        <f>G535*AP535</f>
        <v>0</v>
      </c>
      <c r="BJ535" s="11">
        <f>G535*H535</f>
        <v>0</v>
      </c>
      <c r="BK535" s="11" t="s">
        <v>981</v>
      </c>
      <c r="BL535" s="20">
        <v>783</v>
      </c>
    </row>
    <row r="536" spans="1:15" ht="12.75">
      <c r="A536" s="1"/>
      <c r="D536" s="8" t="s">
        <v>655</v>
      </c>
      <c r="E536" s="9" t="s">
        <v>858</v>
      </c>
      <c r="G536" s="12">
        <v>288.486</v>
      </c>
      <c r="N536" s="16"/>
      <c r="O536" s="1"/>
    </row>
    <row r="537" spans="1:15" ht="12.75">
      <c r="A537" s="1"/>
      <c r="D537" s="8" t="s">
        <v>656</v>
      </c>
      <c r="E537" s="9" t="s">
        <v>859</v>
      </c>
      <c r="G537" s="12">
        <v>184.2588</v>
      </c>
      <c r="N537" s="16"/>
      <c r="O537" s="1"/>
    </row>
    <row r="538" spans="1:15" ht="12.75">
      <c r="A538" s="1"/>
      <c r="D538" s="8" t="s">
        <v>657</v>
      </c>
      <c r="E538" s="9" t="s">
        <v>860</v>
      </c>
      <c r="G538" s="12">
        <v>46.0647</v>
      </c>
      <c r="N538" s="16"/>
      <c r="O538" s="1"/>
    </row>
    <row r="539" spans="1:15" ht="12.75">
      <c r="A539" s="1"/>
      <c r="D539" s="8" t="s">
        <v>658</v>
      </c>
      <c r="E539" s="9" t="s">
        <v>861</v>
      </c>
      <c r="G539" s="12">
        <v>51.7567</v>
      </c>
      <c r="N539" s="16"/>
      <c r="O539" s="1"/>
    </row>
    <row r="540" spans="1:15" ht="12.75">
      <c r="A540" s="1"/>
      <c r="D540" s="8" t="s">
        <v>659</v>
      </c>
      <c r="E540" s="9" t="s">
        <v>862</v>
      </c>
      <c r="G540" s="12">
        <v>104.7</v>
      </c>
      <c r="N540" s="16"/>
      <c r="O540" s="1"/>
    </row>
    <row r="541" spans="1:64" ht="12.75">
      <c r="A541" s="60" t="s">
        <v>110</v>
      </c>
      <c r="B541" s="5"/>
      <c r="C541" s="5" t="s">
        <v>282</v>
      </c>
      <c r="D541" s="176" t="s">
        <v>660</v>
      </c>
      <c r="E541" s="177"/>
      <c r="F541" s="5" t="s">
        <v>881</v>
      </c>
      <c r="G541" s="11">
        <v>104.7</v>
      </c>
      <c r="H541" s="103"/>
      <c r="I541" s="11">
        <f>G541*AO541</f>
        <v>0</v>
      </c>
      <c r="J541" s="11">
        <f>G541*AP541</f>
        <v>0</v>
      </c>
      <c r="K541" s="11">
        <f>G541*H541</f>
        <v>0</v>
      </c>
      <c r="L541" s="11">
        <v>0</v>
      </c>
      <c r="M541" s="11">
        <f>G541*L541</f>
        <v>0</v>
      </c>
      <c r="N541" s="15" t="s">
        <v>912</v>
      </c>
      <c r="O541" s="1"/>
      <c r="Z541" s="20">
        <f>IF(AQ541="5",BJ541,0)</f>
        <v>0</v>
      </c>
      <c r="AB541" s="20">
        <f>IF(AQ541="1",BH541,0)</f>
        <v>0</v>
      </c>
      <c r="AC541" s="20">
        <f>IF(AQ541="1",BI541,0)</f>
        <v>0</v>
      </c>
      <c r="AD541" s="20">
        <f>IF(AQ541="7",BH541,0)</f>
        <v>0</v>
      </c>
      <c r="AE541" s="20">
        <f>IF(AQ541="7",BI541,0)</f>
        <v>0</v>
      </c>
      <c r="AF541" s="20">
        <f>IF(AQ541="2",BH541,0)</f>
        <v>0</v>
      </c>
      <c r="AG541" s="20">
        <f>IF(AQ541="2",BI541,0)</f>
        <v>0</v>
      </c>
      <c r="AH541" s="20">
        <f>IF(AQ541="0",BJ541,0)</f>
        <v>0</v>
      </c>
      <c r="AI541" s="14"/>
      <c r="AJ541" s="11">
        <f>IF(AN541=0,K541,0)</f>
        <v>0</v>
      </c>
      <c r="AK541" s="11">
        <f>IF(AN541=15,K541,0)</f>
        <v>0</v>
      </c>
      <c r="AL541" s="11">
        <f>IF(AN541=21,K541,0)</f>
        <v>0</v>
      </c>
      <c r="AN541" s="20">
        <v>21</v>
      </c>
      <c r="AO541" s="20">
        <f>H541*0</f>
        <v>0</v>
      </c>
      <c r="AP541" s="20">
        <f>H541*(1-0)</f>
        <v>0</v>
      </c>
      <c r="AQ541" s="21" t="s">
        <v>13</v>
      </c>
      <c r="AV541" s="20">
        <f>AW541+AX541</f>
        <v>0</v>
      </c>
      <c r="AW541" s="20">
        <f>G541*AO541</f>
        <v>0</v>
      </c>
      <c r="AX541" s="20">
        <f>G541*AP541</f>
        <v>0</v>
      </c>
      <c r="AY541" s="23" t="s">
        <v>943</v>
      </c>
      <c r="AZ541" s="23" t="s">
        <v>971</v>
      </c>
      <c r="BA541" s="14" t="s">
        <v>976</v>
      </c>
      <c r="BC541" s="20">
        <f>AW541+AX541</f>
        <v>0</v>
      </c>
      <c r="BD541" s="20">
        <f>H541/(100-BE541)*100</f>
        <v>0</v>
      </c>
      <c r="BE541" s="20">
        <v>0</v>
      </c>
      <c r="BF541" s="20">
        <f>M541</f>
        <v>0</v>
      </c>
      <c r="BH541" s="11">
        <f>G541*AO541</f>
        <v>0</v>
      </c>
      <c r="BI541" s="11">
        <f>G541*AP541</f>
        <v>0</v>
      </c>
      <c r="BJ541" s="11">
        <f>G541*H541</f>
        <v>0</v>
      </c>
      <c r="BK541" s="11" t="s">
        <v>981</v>
      </c>
      <c r="BL541" s="20">
        <v>783</v>
      </c>
    </row>
    <row r="542" spans="1:15" ht="12.75">
      <c r="A542" s="1"/>
      <c r="D542" s="8" t="s">
        <v>659</v>
      </c>
      <c r="E542" s="9" t="s">
        <v>863</v>
      </c>
      <c r="G542" s="12">
        <v>104.7</v>
      </c>
      <c r="N542" s="16"/>
      <c r="O542" s="1"/>
    </row>
    <row r="543" spans="1:64" ht="12.75">
      <c r="A543" s="60" t="s">
        <v>111</v>
      </c>
      <c r="B543" s="5"/>
      <c r="C543" s="5" t="s">
        <v>283</v>
      </c>
      <c r="D543" s="176" t="s">
        <v>661</v>
      </c>
      <c r="E543" s="177"/>
      <c r="F543" s="5" t="s">
        <v>881</v>
      </c>
      <c r="G543" s="11">
        <v>104.7</v>
      </c>
      <c r="H543" s="103"/>
      <c r="I543" s="11">
        <f>G543*AO543</f>
        <v>0</v>
      </c>
      <c r="J543" s="11">
        <f>G543*AP543</f>
        <v>0</v>
      </c>
      <c r="K543" s="11">
        <f>G543*H543</f>
        <v>0</v>
      </c>
      <c r="L543" s="11">
        <v>0</v>
      </c>
      <c r="M543" s="11">
        <f>G543*L543</f>
        <v>0</v>
      </c>
      <c r="N543" s="15" t="s">
        <v>912</v>
      </c>
      <c r="O543" s="1"/>
      <c r="Z543" s="20">
        <f>IF(AQ543="5",BJ543,0)</f>
        <v>0</v>
      </c>
      <c r="AB543" s="20">
        <f>IF(AQ543="1",BH543,0)</f>
        <v>0</v>
      </c>
      <c r="AC543" s="20">
        <f>IF(AQ543="1",BI543,0)</f>
        <v>0</v>
      </c>
      <c r="AD543" s="20">
        <f>IF(AQ543="7",BH543,0)</f>
        <v>0</v>
      </c>
      <c r="AE543" s="20">
        <f>IF(AQ543="7",BI543,0)</f>
        <v>0</v>
      </c>
      <c r="AF543" s="20">
        <f>IF(AQ543="2",BH543,0)</f>
        <v>0</v>
      </c>
      <c r="AG543" s="20">
        <f>IF(AQ543="2",BI543,0)</f>
        <v>0</v>
      </c>
      <c r="AH543" s="20">
        <f>IF(AQ543="0",BJ543,0)</f>
        <v>0</v>
      </c>
      <c r="AI543" s="14"/>
      <c r="AJ543" s="11">
        <f>IF(AN543=0,K543,0)</f>
        <v>0</v>
      </c>
      <c r="AK543" s="11">
        <f>IF(AN543=15,K543,0)</f>
        <v>0</v>
      </c>
      <c r="AL543" s="11">
        <f>IF(AN543=21,K543,0)</f>
        <v>0</v>
      </c>
      <c r="AN543" s="20">
        <v>21</v>
      </c>
      <c r="AO543" s="20">
        <f>H543*0</f>
        <v>0</v>
      </c>
      <c r="AP543" s="20">
        <f>H543*(1-0)</f>
        <v>0</v>
      </c>
      <c r="AQ543" s="21" t="s">
        <v>13</v>
      </c>
      <c r="AV543" s="20">
        <f>AW543+AX543</f>
        <v>0</v>
      </c>
      <c r="AW543" s="20">
        <f>G543*AO543</f>
        <v>0</v>
      </c>
      <c r="AX543" s="20">
        <f>G543*AP543</f>
        <v>0</v>
      </c>
      <c r="AY543" s="23" t="s">
        <v>943</v>
      </c>
      <c r="AZ543" s="23" t="s">
        <v>971</v>
      </c>
      <c r="BA543" s="14" t="s">
        <v>976</v>
      </c>
      <c r="BC543" s="20">
        <f>AW543+AX543</f>
        <v>0</v>
      </c>
      <c r="BD543" s="20">
        <f>H543/(100-BE543)*100</f>
        <v>0</v>
      </c>
      <c r="BE543" s="20">
        <v>0</v>
      </c>
      <c r="BF543" s="20">
        <f>M543</f>
        <v>0</v>
      </c>
      <c r="BH543" s="11">
        <f>G543*AO543</f>
        <v>0</v>
      </c>
      <c r="BI543" s="11">
        <f>G543*AP543</f>
        <v>0</v>
      </c>
      <c r="BJ543" s="11">
        <f>G543*H543</f>
        <v>0</v>
      </c>
      <c r="BK543" s="11" t="s">
        <v>981</v>
      </c>
      <c r="BL543" s="20">
        <v>783</v>
      </c>
    </row>
    <row r="544" spans="1:15" ht="12.75">
      <c r="A544" s="1"/>
      <c r="D544" s="8" t="s">
        <v>659</v>
      </c>
      <c r="E544" s="9" t="s">
        <v>863</v>
      </c>
      <c r="G544" s="12">
        <v>104.7</v>
      </c>
      <c r="N544" s="16"/>
      <c r="O544" s="1"/>
    </row>
    <row r="545" spans="1:64" ht="12.75">
      <c r="A545" s="60" t="s">
        <v>112</v>
      </c>
      <c r="B545" s="5"/>
      <c r="C545" s="5" t="s">
        <v>284</v>
      </c>
      <c r="D545" s="176" t="s">
        <v>662</v>
      </c>
      <c r="E545" s="177"/>
      <c r="F545" s="5" t="s">
        <v>881</v>
      </c>
      <c r="G545" s="11">
        <v>690.9705</v>
      </c>
      <c r="H545" s="103"/>
      <c r="I545" s="11">
        <f>G545*AO545</f>
        <v>0</v>
      </c>
      <c r="J545" s="11">
        <f>G545*AP545</f>
        <v>0</v>
      </c>
      <c r="K545" s="11">
        <f>G545*H545</f>
        <v>0</v>
      </c>
      <c r="L545" s="11">
        <v>0.00051</v>
      </c>
      <c r="M545" s="11">
        <f>G545*L545</f>
        <v>0.352394955</v>
      </c>
      <c r="N545" s="15" t="s">
        <v>912</v>
      </c>
      <c r="O545" s="1"/>
      <c r="Z545" s="20">
        <f>IF(AQ545="5",BJ545,0)</f>
        <v>0</v>
      </c>
      <c r="AB545" s="20">
        <f>IF(AQ545="1",BH545,0)</f>
        <v>0</v>
      </c>
      <c r="AC545" s="20">
        <f>IF(AQ545="1",BI545,0)</f>
        <v>0</v>
      </c>
      <c r="AD545" s="20">
        <f>IF(AQ545="7",BH545,0)</f>
        <v>0</v>
      </c>
      <c r="AE545" s="20">
        <f>IF(AQ545="7",BI545,0)</f>
        <v>0</v>
      </c>
      <c r="AF545" s="20">
        <f>IF(AQ545="2",BH545,0)</f>
        <v>0</v>
      </c>
      <c r="AG545" s="20">
        <f>IF(AQ545="2",BI545,0)</f>
        <v>0</v>
      </c>
      <c r="AH545" s="20">
        <f>IF(AQ545="0",BJ545,0)</f>
        <v>0</v>
      </c>
      <c r="AI545" s="14"/>
      <c r="AJ545" s="11">
        <f>IF(AN545=0,K545,0)</f>
        <v>0</v>
      </c>
      <c r="AK545" s="11">
        <f>IF(AN545=15,K545,0)</f>
        <v>0</v>
      </c>
      <c r="AL545" s="11">
        <f>IF(AN545=21,K545,0)</f>
        <v>0</v>
      </c>
      <c r="AN545" s="20">
        <v>21</v>
      </c>
      <c r="AO545" s="20">
        <f>H545*0.351571428571429</f>
        <v>0</v>
      </c>
      <c r="AP545" s="20">
        <f>H545*(1-0.351571428571429)</f>
        <v>0</v>
      </c>
      <c r="AQ545" s="21" t="s">
        <v>13</v>
      </c>
      <c r="AV545" s="20">
        <f>AW545+AX545</f>
        <v>0</v>
      </c>
      <c r="AW545" s="20">
        <f>G545*AO545</f>
        <v>0</v>
      </c>
      <c r="AX545" s="20">
        <f>G545*AP545</f>
        <v>0</v>
      </c>
      <c r="AY545" s="23" t="s">
        <v>943</v>
      </c>
      <c r="AZ545" s="23" t="s">
        <v>971</v>
      </c>
      <c r="BA545" s="14" t="s">
        <v>976</v>
      </c>
      <c r="BC545" s="20">
        <f>AW545+AX545</f>
        <v>0</v>
      </c>
      <c r="BD545" s="20">
        <f>H545/(100-BE545)*100</f>
        <v>0</v>
      </c>
      <c r="BE545" s="20">
        <v>0</v>
      </c>
      <c r="BF545" s="20">
        <f>M545</f>
        <v>0.352394955</v>
      </c>
      <c r="BH545" s="11">
        <f>G545*AO545</f>
        <v>0</v>
      </c>
      <c r="BI545" s="11">
        <f>G545*AP545</f>
        <v>0</v>
      </c>
      <c r="BJ545" s="11">
        <f>G545*H545</f>
        <v>0</v>
      </c>
      <c r="BK545" s="11" t="s">
        <v>981</v>
      </c>
      <c r="BL545" s="20">
        <v>783</v>
      </c>
    </row>
    <row r="546" spans="1:15" ht="12.75">
      <c r="A546" s="1"/>
      <c r="D546" s="8" t="s">
        <v>663</v>
      </c>
      <c r="E546" s="9" t="s">
        <v>859</v>
      </c>
      <c r="G546" s="12">
        <v>552.7764</v>
      </c>
      <c r="N546" s="16"/>
      <c r="O546" s="1"/>
    </row>
    <row r="547" spans="1:15" ht="12.75">
      <c r="A547" s="1"/>
      <c r="D547" s="8" t="s">
        <v>664</v>
      </c>
      <c r="E547" s="9" t="s">
        <v>860</v>
      </c>
      <c r="G547" s="12">
        <v>138.1941</v>
      </c>
      <c r="N547" s="16"/>
      <c r="O547" s="1"/>
    </row>
    <row r="548" spans="1:47" ht="12.75">
      <c r="A548" s="2"/>
      <c r="B548" s="6"/>
      <c r="C548" s="6" t="s">
        <v>285</v>
      </c>
      <c r="D548" s="174" t="s">
        <v>665</v>
      </c>
      <c r="E548" s="175"/>
      <c r="F548" s="10" t="s">
        <v>6</v>
      </c>
      <c r="G548" s="10" t="s">
        <v>6</v>
      </c>
      <c r="H548" s="10"/>
      <c r="I548" s="25">
        <f>SUM(I549:I552)</f>
        <v>0</v>
      </c>
      <c r="J548" s="25">
        <f>SUM(J549:J552)</f>
        <v>0</v>
      </c>
      <c r="K548" s="25">
        <f>SUM(K549:K552)</f>
        <v>0</v>
      </c>
      <c r="L548" s="14"/>
      <c r="M548" s="25">
        <f>SUM(M549:M552)</f>
        <v>0.0008264</v>
      </c>
      <c r="N548" s="17"/>
      <c r="O548" s="1"/>
      <c r="AI548" s="14"/>
      <c r="AS548" s="25">
        <f>SUM(AJ549:AJ552)</f>
        <v>0</v>
      </c>
      <c r="AT548" s="25">
        <f>SUM(AK549:AK552)</f>
        <v>0</v>
      </c>
      <c r="AU548" s="25">
        <f>SUM(AL549:AL552)</f>
        <v>0</v>
      </c>
    </row>
    <row r="549" spans="1:64" ht="12.75">
      <c r="A549" s="60" t="s">
        <v>113</v>
      </c>
      <c r="B549" s="5"/>
      <c r="C549" s="5" t="s">
        <v>286</v>
      </c>
      <c r="D549" s="176" t="s">
        <v>666</v>
      </c>
      <c r="E549" s="177"/>
      <c r="F549" s="5" t="s">
        <v>881</v>
      </c>
      <c r="G549" s="11">
        <v>41.32</v>
      </c>
      <c r="H549" s="103"/>
      <c r="I549" s="11">
        <f>G549*AO549</f>
        <v>0</v>
      </c>
      <c r="J549" s="11">
        <f>G549*AP549</f>
        <v>0</v>
      </c>
      <c r="K549" s="11">
        <f>G549*H549</f>
        <v>0</v>
      </c>
      <c r="L549" s="11">
        <v>0</v>
      </c>
      <c r="M549" s="11">
        <f>G549*L549</f>
        <v>0</v>
      </c>
      <c r="N549" s="15" t="s">
        <v>912</v>
      </c>
      <c r="O549" s="1"/>
      <c r="Z549" s="20">
        <f>IF(AQ549="5",BJ549,0)</f>
        <v>0</v>
      </c>
      <c r="AB549" s="20">
        <f>IF(AQ549="1",BH549,0)</f>
        <v>0</v>
      </c>
      <c r="AC549" s="20">
        <f>IF(AQ549="1",BI549,0)</f>
        <v>0</v>
      </c>
      <c r="AD549" s="20">
        <f>IF(AQ549="7",BH549,0)</f>
        <v>0</v>
      </c>
      <c r="AE549" s="20">
        <f>IF(AQ549="7",BI549,0)</f>
        <v>0</v>
      </c>
      <c r="AF549" s="20">
        <f>IF(AQ549="2",BH549,0)</f>
        <v>0</v>
      </c>
      <c r="AG549" s="20">
        <f>IF(AQ549="2",BI549,0)</f>
        <v>0</v>
      </c>
      <c r="AH549" s="20">
        <f>IF(AQ549="0",BJ549,0)</f>
        <v>0</v>
      </c>
      <c r="AI549" s="14"/>
      <c r="AJ549" s="11">
        <f>IF(AN549=0,K549,0)</f>
        <v>0</v>
      </c>
      <c r="AK549" s="11">
        <f>IF(AN549=15,K549,0)</f>
        <v>0</v>
      </c>
      <c r="AL549" s="11">
        <f>IF(AN549=21,K549,0)</f>
        <v>0</v>
      </c>
      <c r="AN549" s="20">
        <v>21</v>
      </c>
      <c r="AO549" s="20">
        <f>H549*0</f>
        <v>0</v>
      </c>
      <c r="AP549" s="20">
        <f>H549*(1-0)</f>
        <v>0</v>
      </c>
      <c r="AQ549" s="21" t="s">
        <v>13</v>
      </c>
      <c r="AV549" s="20">
        <f>AW549+AX549</f>
        <v>0</v>
      </c>
      <c r="AW549" s="20">
        <f>G549*AO549</f>
        <v>0</v>
      </c>
      <c r="AX549" s="20">
        <f>G549*AP549</f>
        <v>0</v>
      </c>
      <c r="AY549" s="23" t="s">
        <v>944</v>
      </c>
      <c r="AZ549" s="23" t="s">
        <v>971</v>
      </c>
      <c r="BA549" s="14" t="s">
        <v>976</v>
      </c>
      <c r="BC549" s="20">
        <f>AW549+AX549</f>
        <v>0</v>
      </c>
      <c r="BD549" s="20">
        <f>H549/(100-BE549)*100</f>
        <v>0</v>
      </c>
      <c r="BE549" s="20">
        <v>0</v>
      </c>
      <c r="BF549" s="20">
        <f>M549</f>
        <v>0</v>
      </c>
      <c r="BH549" s="11">
        <f>G549*AO549</f>
        <v>0</v>
      </c>
      <c r="BI549" s="11">
        <f>G549*AP549</f>
        <v>0</v>
      </c>
      <c r="BJ549" s="11">
        <f>G549*H549</f>
        <v>0</v>
      </c>
      <c r="BK549" s="11" t="s">
        <v>981</v>
      </c>
      <c r="BL549" s="20">
        <v>784</v>
      </c>
    </row>
    <row r="550" spans="1:15" ht="12.75">
      <c r="A550" s="1"/>
      <c r="D550" s="8" t="s">
        <v>667</v>
      </c>
      <c r="E550" s="9" t="s">
        <v>864</v>
      </c>
      <c r="G550" s="12">
        <v>20.66</v>
      </c>
      <c r="N550" s="16"/>
      <c r="O550" s="1"/>
    </row>
    <row r="551" spans="1:15" ht="12.75">
      <c r="A551" s="1"/>
      <c r="D551" s="8" t="s">
        <v>667</v>
      </c>
      <c r="E551" s="9" t="s">
        <v>865</v>
      </c>
      <c r="G551" s="12">
        <v>20.66</v>
      </c>
      <c r="N551" s="16"/>
      <c r="O551" s="1"/>
    </row>
    <row r="552" spans="1:64" ht="12.75">
      <c r="A552" s="61" t="s">
        <v>114</v>
      </c>
      <c r="B552" s="7"/>
      <c r="C552" s="7" t="s">
        <v>287</v>
      </c>
      <c r="D552" s="179" t="s">
        <v>668</v>
      </c>
      <c r="E552" s="180"/>
      <c r="F552" s="7" t="s">
        <v>881</v>
      </c>
      <c r="G552" s="13">
        <v>41.32</v>
      </c>
      <c r="H552" s="104"/>
      <c r="I552" s="13">
        <f>G552*AO552</f>
        <v>0</v>
      </c>
      <c r="J552" s="13">
        <f>G552*AP552</f>
        <v>0</v>
      </c>
      <c r="K552" s="13">
        <f>G552*H552</f>
        <v>0</v>
      </c>
      <c r="L552" s="13">
        <v>2E-05</v>
      </c>
      <c r="M552" s="13">
        <f>G552*L552</f>
        <v>0.0008264</v>
      </c>
      <c r="N552" s="18" t="s">
        <v>912</v>
      </c>
      <c r="O552" s="1"/>
      <c r="Z552" s="20">
        <f>IF(AQ552="5",BJ552,0)</f>
        <v>0</v>
      </c>
      <c r="AB552" s="20">
        <f>IF(AQ552="1",BH552,0)</f>
        <v>0</v>
      </c>
      <c r="AC552" s="20">
        <f>IF(AQ552="1",BI552,0)</f>
        <v>0</v>
      </c>
      <c r="AD552" s="20">
        <f>IF(AQ552="7",BH552,0)</f>
        <v>0</v>
      </c>
      <c r="AE552" s="20">
        <f>IF(AQ552="7",BI552,0)</f>
        <v>0</v>
      </c>
      <c r="AF552" s="20">
        <f>IF(AQ552="2",BH552,0)</f>
        <v>0</v>
      </c>
      <c r="AG552" s="20">
        <f>IF(AQ552="2",BI552,0)</f>
        <v>0</v>
      </c>
      <c r="AH552" s="20">
        <f>IF(AQ552="0",BJ552,0)</f>
        <v>0</v>
      </c>
      <c r="AI552" s="14"/>
      <c r="AJ552" s="13">
        <f>IF(AN552=0,K552,0)</f>
        <v>0</v>
      </c>
      <c r="AK552" s="13">
        <f>IF(AN552=15,K552,0)</f>
        <v>0</v>
      </c>
      <c r="AL552" s="13">
        <f>IF(AN552=21,K552,0)</f>
        <v>0</v>
      </c>
      <c r="AN552" s="20">
        <v>21</v>
      </c>
      <c r="AO552" s="20">
        <f>H552*1</f>
        <v>0</v>
      </c>
      <c r="AP552" s="20">
        <f>H552*(1-1)</f>
        <v>0</v>
      </c>
      <c r="AQ552" s="22" t="s">
        <v>13</v>
      </c>
      <c r="AV552" s="20">
        <f>AW552+AX552</f>
        <v>0</v>
      </c>
      <c r="AW552" s="20">
        <f>G552*AO552</f>
        <v>0</v>
      </c>
      <c r="AX552" s="20">
        <f>G552*AP552</f>
        <v>0</v>
      </c>
      <c r="AY552" s="23" t="s">
        <v>944</v>
      </c>
      <c r="AZ552" s="23" t="s">
        <v>971</v>
      </c>
      <c r="BA552" s="14" t="s">
        <v>976</v>
      </c>
      <c r="BC552" s="20">
        <f>AW552+AX552</f>
        <v>0</v>
      </c>
      <c r="BD552" s="20">
        <f>H552/(100-BE552)*100</f>
        <v>0</v>
      </c>
      <c r="BE552" s="20">
        <v>0</v>
      </c>
      <c r="BF552" s="20">
        <f>M552</f>
        <v>0.0008264</v>
      </c>
      <c r="BH552" s="13">
        <f>G552*AO552</f>
        <v>0</v>
      </c>
      <c r="BI552" s="13">
        <f>G552*AP552</f>
        <v>0</v>
      </c>
      <c r="BJ552" s="13">
        <f>G552*H552</f>
        <v>0</v>
      </c>
      <c r="BK552" s="13" t="s">
        <v>982</v>
      </c>
      <c r="BL552" s="20">
        <v>784</v>
      </c>
    </row>
    <row r="553" spans="1:15" ht="12.75">
      <c r="A553" s="1"/>
      <c r="D553" s="8" t="s">
        <v>667</v>
      </c>
      <c r="E553" s="9" t="s">
        <v>864</v>
      </c>
      <c r="G553" s="12">
        <v>20.66</v>
      </c>
      <c r="N553" s="16"/>
      <c r="O553" s="1"/>
    </row>
    <row r="554" spans="1:15" ht="12.75">
      <c r="A554" s="1"/>
      <c r="D554" s="8" t="s">
        <v>667</v>
      </c>
      <c r="E554" s="9" t="s">
        <v>865</v>
      </c>
      <c r="G554" s="12">
        <v>20.66</v>
      </c>
      <c r="N554" s="16"/>
      <c r="O554" s="1"/>
    </row>
    <row r="555" spans="1:47" ht="12.75">
      <c r="A555" s="2"/>
      <c r="B555" s="6"/>
      <c r="C555" s="6" t="s">
        <v>92</v>
      </c>
      <c r="D555" s="174" t="s">
        <v>669</v>
      </c>
      <c r="E555" s="175"/>
      <c r="F555" s="10" t="s">
        <v>6</v>
      </c>
      <c r="G555" s="10" t="s">
        <v>6</v>
      </c>
      <c r="H555" s="10"/>
      <c r="I555" s="25">
        <f>SUM(I556:I559)</f>
        <v>0</v>
      </c>
      <c r="J555" s="25">
        <f>SUM(J556:J559)</f>
        <v>0</v>
      </c>
      <c r="K555" s="25">
        <f>SUM(K556:K559)</f>
        <v>0</v>
      </c>
      <c r="L555" s="14"/>
      <c r="M555" s="25">
        <f>SUM(M556:M559)</f>
        <v>0.031599999999999996</v>
      </c>
      <c r="N555" s="17"/>
      <c r="O555" s="1"/>
      <c r="AI555" s="14"/>
      <c r="AS555" s="25">
        <f>SUM(AJ556:AJ559)</f>
        <v>0</v>
      </c>
      <c r="AT555" s="25">
        <f>SUM(AK556:AK559)</f>
        <v>0</v>
      </c>
      <c r="AU555" s="25">
        <f>SUM(AL556:AL559)</f>
        <v>0</v>
      </c>
    </row>
    <row r="556" spans="1:64" ht="12.75">
      <c r="A556" s="60" t="s">
        <v>115</v>
      </c>
      <c r="B556" s="5"/>
      <c r="C556" s="5" t="s">
        <v>288</v>
      </c>
      <c r="D556" s="159" t="s">
        <v>670</v>
      </c>
      <c r="E556" s="150"/>
      <c r="F556" s="5" t="s">
        <v>883</v>
      </c>
      <c r="G556" s="11">
        <v>20</v>
      </c>
      <c r="H556" s="103"/>
      <c r="I556" s="11">
        <f>G556*AO556</f>
        <v>0</v>
      </c>
      <c r="J556" s="11">
        <f>G556*AP556</f>
        <v>0</v>
      </c>
      <c r="K556" s="11">
        <f>G556*H556</f>
        <v>0</v>
      </c>
      <c r="L556" s="11">
        <v>0.00153</v>
      </c>
      <c r="M556" s="11">
        <f>G556*L556</f>
        <v>0.0306</v>
      </c>
      <c r="N556" s="15" t="s">
        <v>912</v>
      </c>
      <c r="O556" s="1"/>
      <c r="Z556" s="20">
        <f>IF(AQ556="5",BJ556,0)</f>
        <v>0</v>
      </c>
      <c r="AB556" s="20">
        <f>IF(AQ556="1",BH556,0)</f>
        <v>0</v>
      </c>
      <c r="AC556" s="20">
        <f>IF(AQ556="1",BI556,0)</f>
        <v>0</v>
      </c>
      <c r="AD556" s="20">
        <f>IF(AQ556="7",BH556,0)</f>
        <v>0</v>
      </c>
      <c r="AE556" s="20">
        <f>IF(AQ556="7",BI556,0)</f>
        <v>0</v>
      </c>
      <c r="AF556" s="20">
        <f>IF(AQ556="2",BH556,0)</f>
        <v>0</v>
      </c>
      <c r="AG556" s="20">
        <f>IF(AQ556="2",BI556,0)</f>
        <v>0</v>
      </c>
      <c r="AH556" s="20">
        <f>IF(AQ556="0",BJ556,0)</f>
        <v>0</v>
      </c>
      <c r="AI556" s="14"/>
      <c r="AJ556" s="11">
        <f>IF(AN556=0,K556,0)</f>
        <v>0</v>
      </c>
      <c r="AK556" s="11">
        <f>IF(AN556=15,K556,0)</f>
        <v>0</v>
      </c>
      <c r="AL556" s="11">
        <f>IF(AN556=21,K556,0)</f>
        <v>0</v>
      </c>
      <c r="AN556" s="20">
        <v>21</v>
      </c>
      <c r="AO556" s="20">
        <f>H556*0.848988235294118</f>
        <v>0</v>
      </c>
      <c r="AP556" s="20">
        <f>H556*(1-0.848988235294118)</f>
        <v>0</v>
      </c>
      <c r="AQ556" s="21" t="s">
        <v>7</v>
      </c>
      <c r="AV556" s="20">
        <f>AW556+AX556</f>
        <v>0</v>
      </c>
      <c r="AW556" s="20">
        <f>G556*AO556</f>
        <v>0</v>
      </c>
      <c r="AX556" s="20">
        <f>G556*AP556</f>
        <v>0</v>
      </c>
      <c r="AY556" s="23" t="s">
        <v>945</v>
      </c>
      <c r="AZ556" s="23" t="s">
        <v>972</v>
      </c>
      <c r="BA556" s="14" t="s">
        <v>976</v>
      </c>
      <c r="BC556" s="20">
        <f>AW556+AX556</f>
        <v>0</v>
      </c>
      <c r="BD556" s="20">
        <f>H556/(100-BE556)*100</f>
        <v>0</v>
      </c>
      <c r="BE556" s="20">
        <v>0</v>
      </c>
      <c r="BF556" s="20">
        <f>M556</f>
        <v>0.0306</v>
      </c>
      <c r="BH556" s="11">
        <f>G556*AO556</f>
        <v>0</v>
      </c>
      <c r="BI556" s="11">
        <f>G556*AP556</f>
        <v>0</v>
      </c>
      <c r="BJ556" s="11">
        <f>G556*H556</f>
        <v>0</v>
      </c>
      <c r="BK556" s="11" t="s">
        <v>981</v>
      </c>
      <c r="BL556" s="20">
        <v>87</v>
      </c>
    </row>
    <row r="557" spans="1:15" ht="12.75">
      <c r="A557" s="1"/>
      <c r="C557" s="59"/>
      <c r="D557" s="96" t="s">
        <v>1033</v>
      </c>
      <c r="E557" s="9"/>
      <c r="G557" s="12">
        <v>20</v>
      </c>
      <c r="N557" s="16"/>
      <c r="O557" s="1"/>
    </row>
    <row r="558" spans="1:64" ht="12.75">
      <c r="A558" s="60" t="s">
        <v>116</v>
      </c>
      <c r="B558" s="5"/>
      <c r="C558" s="5" t="s">
        <v>289</v>
      </c>
      <c r="D558" s="176" t="s">
        <v>671</v>
      </c>
      <c r="E558" s="177"/>
      <c r="F558" s="5" t="s">
        <v>885</v>
      </c>
      <c r="G558" s="11">
        <v>1</v>
      </c>
      <c r="H558" s="103"/>
      <c r="I558" s="11">
        <f>G558*AO558</f>
        <v>0</v>
      </c>
      <c r="J558" s="11">
        <f>G558*AP558</f>
        <v>0</v>
      </c>
      <c r="K558" s="11">
        <f>G558*H558</f>
        <v>0</v>
      </c>
      <c r="L558" s="11">
        <v>0.001</v>
      </c>
      <c r="M558" s="11">
        <f>G558*L558</f>
        <v>0.001</v>
      </c>
      <c r="N558" s="15" t="s">
        <v>912</v>
      </c>
      <c r="O558" s="1"/>
      <c r="Z558" s="20">
        <f>IF(AQ558="5",BJ558,0)</f>
        <v>0</v>
      </c>
      <c r="AB558" s="20">
        <f>IF(AQ558="1",BH558,0)</f>
        <v>0</v>
      </c>
      <c r="AC558" s="20">
        <f>IF(AQ558="1",BI558,0)</f>
        <v>0</v>
      </c>
      <c r="AD558" s="20">
        <f>IF(AQ558="7",BH558,0)</f>
        <v>0</v>
      </c>
      <c r="AE558" s="20">
        <f>IF(AQ558="7",BI558,0)</f>
        <v>0</v>
      </c>
      <c r="AF558" s="20">
        <f>IF(AQ558="2",BH558,0)</f>
        <v>0</v>
      </c>
      <c r="AG558" s="20">
        <f>IF(AQ558="2",BI558,0)</f>
        <v>0</v>
      </c>
      <c r="AH558" s="20">
        <f>IF(AQ558="0",BJ558,0)</f>
        <v>0</v>
      </c>
      <c r="AI558" s="14"/>
      <c r="AJ558" s="11">
        <f>IF(AN558=0,K558,0)</f>
        <v>0</v>
      </c>
      <c r="AK558" s="11">
        <f>IF(AN558=15,K558,0)</f>
        <v>0</v>
      </c>
      <c r="AL558" s="11">
        <f>IF(AN558=21,K558,0)</f>
        <v>0</v>
      </c>
      <c r="AN558" s="20">
        <v>21</v>
      </c>
      <c r="AO558" s="20">
        <f>H558*0.518672199170125</f>
        <v>0</v>
      </c>
      <c r="AP558" s="20">
        <f>H558*(1-0.518672199170125)</f>
        <v>0</v>
      </c>
      <c r="AQ558" s="21" t="s">
        <v>7</v>
      </c>
      <c r="AV558" s="20">
        <f>AW558+AX558</f>
        <v>0</v>
      </c>
      <c r="AW558" s="20">
        <f>G558*AO558</f>
        <v>0</v>
      </c>
      <c r="AX558" s="20">
        <f>G558*AP558</f>
        <v>0</v>
      </c>
      <c r="AY558" s="23" t="s">
        <v>945</v>
      </c>
      <c r="AZ558" s="23" t="s">
        <v>972</v>
      </c>
      <c r="BA558" s="14" t="s">
        <v>976</v>
      </c>
      <c r="BC558" s="20">
        <f>AW558+AX558</f>
        <v>0</v>
      </c>
      <c r="BD558" s="20">
        <f>H558/(100-BE558)*100</f>
        <v>0</v>
      </c>
      <c r="BE558" s="20">
        <v>0</v>
      </c>
      <c r="BF558" s="20">
        <f>M558</f>
        <v>0.001</v>
      </c>
      <c r="BH558" s="11">
        <f>G558*AO558</f>
        <v>0</v>
      </c>
      <c r="BI558" s="11">
        <f>G558*AP558</f>
        <v>0</v>
      </c>
      <c r="BJ558" s="11">
        <f>G558*H558</f>
        <v>0</v>
      </c>
      <c r="BK558" s="11" t="s">
        <v>981</v>
      </c>
      <c r="BL558" s="20">
        <v>87</v>
      </c>
    </row>
    <row r="559" spans="1:64" ht="12.75">
      <c r="A559" s="60" t="s">
        <v>117</v>
      </c>
      <c r="B559" s="5"/>
      <c r="C559" s="5" t="s">
        <v>290</v>
      </c>
      <c r="D559" s="176" t="s">
        <v>672</v>
      </c>
      <c r="E559" s="177"/>
      <c r="F559" s="5" t="s">
        <v>887</v>
      </c>
      <c r="G559" s="11">
        <v>0.03</v>
      </c>
      <c r="H559" s="103"/>
      <c r="I559" s="11">
        <f>G559*AO559</f>
        <v>0</v>
      </c>
      <c r="J559" s="11">
        <f>G559*AP559</f>
        <v>0</v>
      </c>
      <c r="K559" s="11">
        <f>G559*H559</f>
        <v>0</v>
      </c>
      <c r="L559" s="11">
        <v>0</v>
      </c>
      <c r="M559" s="11">
        <f>G559*L559</f>
        <v>0</v>
      </c>
      <c r="N559" s="15" t="s">
        <v>912</v>
      </c>
      <c r="O559" s="1"/>
      <c r="Z559" s="20">
        <f>IF(AQ559="5",BJ559,0)</f>
        <v>0</v>
      </c>
      <c r="AB559" s="20">
        <f>IF(AQ559="1",BH559,0)</f>
        <v>0</v>
      </c>
      <c r="AC559" s="20">
        <f>IF(AQ559="1",BI559,0)</f>
        <v>0</v>
      </c>
      <c r="AD559" s="20">
        <f>IF(AQ559="7",BH559,0)</f>
        <v>0</v>
      </c>
      <c r="AE559" s="20">
        <f>IF(AQ559="7",BI559,0)</f>
        <v>0</v>
      </c>
      <c r="AF559" s="20">
        <f>IF(AQ559="2",BH559,0)</f>
        <v>0</v>
      </c>
      <c r="AG559" s="20">
        <f>IF(AQ559="2",BI559,0)</f>
        <v>0</v>
      </c>
      <c r="AH559" s="20">
        <f>IF(AQ559="0",BJ559,0)</f>
        <v>0</v>
      </c>
      <c r="AI559" s="14"/>
      <c r="AJ559" s="11">
        <f>IF(AN559=0,K559,0)</f>
        <v>0</v>
      </c>
      <c r="AK559" s="11">
        <f>IF(AN559=15,K559,0)</f>
        <v>0</v>
      </c>
      <c r="AL559" s="11">
        <f>IF(AN559=21,K559,0)</f>
        <v>0</v>
      </c>
      <c r="AN559" s="20">
        <v>21</v>
      </c>
      <c r="AO559" s="20">
        <f>H559*0</f>
        <v>0</v>
      </c>
      <c r="AP559" s="20">
        <f>H559*(1-0)</f>
        <v>0</v>
      </c>
      <c r="AQ559" s="21" t="s">
        <v>11</v>
      </c>
      <c r="AV559" s="20">
        <f>AW559+AX559</f>
        <v>0</v>
      </c>
      <c r="AW559" s="20">
        <f>G559*AO559</f>
        <v>0</v>
      </c>
      <c r="AX559" s="20">
        <f>G559*AP559</f>
        <v>0</v>
      </c>
      <c r="AY559" s="23" t="s">
        <v>945</v>
      </c>
      <c r="AZ559" s="23" t="s">
        <v>972</v>
      </c>
      <c r="BA559" s="14" t="s">
        <v>976</v>
      </c>
      <c r="BC559" s="20">
        <f>AW559+AX559</f>
        <v>0</v>
      </c>
      <c r="BD559" s="20">
        <f>H559/(100-BE559)*100</f>
        <v>0</v>
      </c>
      <c r="BE559" s="20">
        <v>0</v>
      </c>
      <c r="BF559" s="20">
        <f>M559</f>
        <v>0</v>
      </c>
      <c r="BH559" s="11">
        <f>G559*AO559</f>
        <v>0</v>
      </c>
      <c r="BI559" s="11">
        <f>G559*AP559</f>
        <v>0</v>
      </c>
      <c r="BJ559" s="11">
        <f>G559*H559</f>
        <v>0</v>
      </c>
      <c r="BK559" s="11" t="s">
        <v>981</v>
      </c>
      <c r="BL559" s="20">
        <v>87</v>
      </c>
    </row>
    <row r="560" spans="1:47" ht="12.75">
      <c r="A560" s="2"/>
      <c r="B560" s="6"/>
      <c r="C560" s="6" t="s">
        <v>95</v>
      </c>
      <c r="D560" s="174" t="s">
        <v>673</v>
      </c>
      <c r="E560" s="175"/>
      <c r="F560" s="10" t="s">
        <v>6</v>
      </c>
      <c r="G560" s="10" t="s">
        <v>6</v>
      </c>
      <c r="H560" s="10"/>
      <c r="I560" s="25">
        <f>SUM(I561:I561)</f>
        <v>0</v>
      </c>
      <c r="J560" s="25">
        <f>SUM(J561:J561)</f>
        <v>0</v>
      </c>
      <c r="K560" s="25">
        <f>SUM(K561:K561)</f>
        <v>0</v>
      </c>
      <c r="L560" s="14"/>
      <c r="M560" s="25">
        <f>SUM(M561:M561)</f>
        <v>0</v>
      </c>
      <c r="N560" s="17"/>
      <c r="O560" s="1"/>
      <c r="AI560" s="14"/>
      <c r="AS560" s="25">
        <f>SUM(AJ561:AJ561)</f>
        <v>0</v>
      </c>
      <c r="AT560" s="25">
        <f>SUM(AK561:AK561)</f>
        <v>0</v>
      </c>
      <c r="AU560" s="25">
        <f>SUM(AL561:AL561)</f>
        <v>0</v>
      </c>
    </row>
    <row r="561" spans="1:64" ht="12.75">
      <c r="A561" s="62" t="s">
        <v>118</v>
      </c>
      <c r="B561" s="47"/>
      <c r="C561" s="47" t="s">
        <v>291</v>
      </c>
      <c r="D561" s="183" t="s">
        <v>674</v>
      </c>
      <c r="E561" s="184"/>
      <c r="F561" s="47" t="s">
        <v>891</v>
      </c>
      <c r="G561" s="52">
        <v>34</v>
      </c>
      <c r="H561" s="105"/>
      <c r="I561" s="52">
        <f>G561*AO561</f>
        <v>0</v>
      </c>
      <c r="J561" s="52">
        <f>G561*AP561</f>
        <v>0</v>
      </c>
      <c r="K561" s="52">
        <f>G561*H561</f>
        <v>0</v>
      </c>
      <c r="L561" s="52">
        <v>0</v>
      </c>
      <c r="M561" s="52">
        <f>G561*L561</f>
        <v>0</v>
      </c>
      <c r="N561" s="43" t="s">
        <v>912</v>
      </c>
      <c r="O561" s="44"/>
      <c r="Z561" s="20">
        <f>IF(AQ561="5",BJ561,0)</f>
        <v>0</v>
      </c>
      <c r="AB561" s="20">
        <f>IF(AQ561="1",BH561,0)</f>
        <v>0</v>
      </c>
      <c r="AC561" s="20">
        <f>IF(AQ561="1",BI561,0)</f>
        <v>0</v>
      </c>
      <c r="AD561" s="20">
        <f>IF(AQ561="7",BH561,0)</f>
        <v>0</v>
      </c>
      <c r="AE561" s="20">
        <f>IF(AQ561="7",BI561,0)</f>
        <v>0</v>
      </c>
      <c r="AF561" s="20">
        <f>IF(AQ561="2",BH561,0)</f>
        <v>0</v>
      </c>
      <c r="AG561" s="20">
        <f>IF(AQ561="2",BI561,0)</f>
        <v>0</v>
      </c>
      <c r="AH561" s="20">
        <f>IF(AQ561="0",BJ561,0)</f>
        <v>0</v>
      </c>
      <c r="AI561" s="14"/>
      <c r="AJ561" s="11">
        <f>IF(AN561=0,K561,0)</f>
        <v>0</v>
      </c>
      <c r="AK561" s="11">
        <f>IF(AN561=15,K561,0)</f>
        <v>0</v>
      </c>
      <c r="AL561" s="11">
        <f>IF(AN561=21,K561,0)</f>
        <v>0</v>
      </c>
      <c r="AN561" s="20">
        <v>21</v>
      </c>
      <c r="AO561" s="20">
        <f>H561*0</f>
        <v>0</v>
      </c>
      <c r="AP561" s="20">
        <f>H561*(1-0)</f>
        <v>0</v>
      </c>
      <c r="AQ561" s="21" t="s">
        <v>7</v>
      </c>
      <c r="AV561" s="20">
        <f>AW561+AX561</f>
        <v>0</v>
      </c>
      <c r="AW561" s="20">
        <f>G561*AO561</f>
        <v>0</v>
      </c>
      <c r="AX561" s="20">
        <f>G561*AP561</f>
        <v>0</v>
      </c>
      <c r="AY561" s="23" t="s">
        <v>946</v>
      </c>
      <c r="AZ561" s="23" t="s">
        <v>973</v>
      </c>
      <c r="BA561" s="14" t="s">
        <v>976</v>
      </c>
      <c r="BC561" s="20">
        <f>AW561+AX561</f>
        <v>0</v>
      </c>
      <c r="BD561" s="20">
        <f>H561/(100-BE561)*100</f>
        <v>0</v>
      </c>
      <c r="BE561" s="20">
        <v>0</v>
      </c>
      <c r="BF561" s="20">
        <f>M561</f>
        <v>0</v>
      </c>
      <c r="BH561" s="11">
        <f>G561*AO561</f>
        <v>0</v>
      </c>
      <c r="BI561" s="11">
        <f>G561*AP561</f>
        <v>0</v>
      </c>
      <c r="BJ561" s="11">
        <f>G561*H561</f>
        <v>0</v>
      </c>
      <c r="BK561" s="11" t="s">
        <v>981</v>
      </c>
      <c r="BL561" s="20">
        <v>90</v>
      </c>
    </row>
    <row r="562" spans="1:15" ht="12.75">
      <c r="A562" s="54"/>
      <c r="B562" s="55"/>
      <c r="C562" s="55"/>
      <c r="D562" s="56" t="s">
        <v>675</v>
      </c>
      <c r="E562" s="100" t="s">
        <v>1049</v>
      </c>
      <c r="F562" s="55"/>
      <c r="G562" s="58">
        <v>10</v>
      </c>
      <c r="H562" s="55"/>
      <c r="I562" s="55"/>
      <c r="J562" s="55"/>
      <c r="K562" s="55"/>
      <c r="L562" s="55"/>
      <c r="M562" s="55"/>
      <c r="N562" s="45"/>
      <c r="O562" s="44"/>
    </row>
    <row r="563" spans="1:15" ht="12.75">
      <c r="A563" s="48"/>
      <c r="B563" s="49"/>
      <c r="C563" s="49"/>
      <c r="D563" s="50" t="s">
        <v>14</v>
      </c>
      <c r="E563" s="51" t="s">
        <v>866</v>
      </c>
      <c r="F563" s="49"/>
      <c r="G563" s="53">
        <v>8</v>
      </c>
      <c r="H563" s="49"/>
      <c r="I563" s="49"/>
      <c r="J563" s="49"/>
      <c r="K563" s="49"/>
      <c r="L563" s="49"/>
      <c r="M563" s="49"/>
      <c r="N563" s="46"/>
      <c r="O563" s="44"/>
    </row>
    <row r="564" spans="1:47" ht="12.75">
      <c r="A564" s="2"/>
      <c r="B564" s="6"/>
      <c r="C564" s="6" t="s">
        <v>96</v>
      </c>
      <c r="D564" s="174" t="s">
        <v>676</v>
      </c>
      <c r="E564" s="175"/>
      <c r="F564" s="10" t="s">
        <v>6</v>
      </c>
      <c r="G564" s="10" t="s">
        <v>6</v>
      </c>
      <c r="H564" s="10"/>
      <c r="I564" s="25">
        <f>SUM(I565:I570)</f>
        <v>0</v>
      </c>
      <c r="J564" s="25">
        <f>SUM(J565:J570)</f>
        <v>0</v>
      </c>
      <c r="K564" s="25">
        <f>SUM(K565:K570)</f>
        <v>0</v>
      </c>
      <c r="L564" s="14"/>
      <c r="M564" s="25">
        <f>SUM(M565:M570)</f>
        <v>16.288362</v>
      </c>
      <c r="N564" s="17"/>
      <c r="O564" s="1"/>
      <c r="AI564" s="14"/>
      <c r="AS564" s="25">
        <f>SUM(AJ565:AJ570)</f>
        <v>0</v>
      </c>
      <c r="AT564" s="25">
        <f>SUM(AK565:AK570)</f>
        <v>0</v>
      </c>
      <c r="AU564" s="25">
        <f>SUM(AL565:AL570)</f>
        <v>0</v>
      </c>
    </row>
    <row r="565" spans="1:64" ht="12.75">
      <c r="A565" s="60" t="s">
        <v>119</v>
      </c>
      <c r="B565" s="5"/>
      <c r="C565" s="5" t="s">
        <v>292</v>
      </c>
      <c r="D565" s="176" t="s">
        <v>677</v>
      </c>
      <c r="E565" s="177"/>
      <c r="F565" s="5" t="s">
        <v>883</v>
      </c>
      <c r="G565" s="11">
        <v>123.21</v>
      </c>
      <c r="H565" s="103"/>
      <c r="I565" s="11">
        <f>G565*AO565</f>
        <v>0</v>
      </c>
      <c r="J565" s="11">
        <f>G565*AP565</f>
        <v>0</v>
      </c>
      <c r="K565" s="11">
        <f>G565*H565</f>
        <v>0</v>
      </c>
      <c r="L565" s="11">
        <v>0.1025</v>
      </c>
      <c r="M565" s="11">
        <f>G565*L565</f>
        <v>12.629024999999999</v>
      </c>
      <c r="N565" s="15" t="s">
        <v>912</v>
      </c>
      <c r="O565" s="1"/>
      <c r="Z565" s="20">
        <f>IF(AQ565="5",BJ565,0)</f>
        <v>0</v>
      </c>
      <c r="AB565" s="20">
        <f>IF(AQ565="1",BH565,0)</f>
        <v>0</v>
      </c>
      <c r="AC565" s="20">
        <f>IF(AQ565="1",BI565,0)</f>
        <v>0</v>
      </c>
      <c r="AD565" s="20">
        <f>IF(AQ565="7",BH565,0)</f>
        <v>0</v>
      </c>
      <c r="AE565" s="20">
        <f>IF(AQ565="7",BI565,0)</f>
        <v>0</v>
      </c>
      <c r="AF565" s="20">
        <f>IF(AQ565="2",BH565,0)</f>
        <v>0</v>
      </c>
      <c r="AG565" s="20">
        <f>IF(AQ565="2",BI565,0)</f>
        <v>0</v>
      </c>
      <c r="AH565" s="20">
        <f>IF(AQ565="0",BJ565,0)</f>
        <v>0</v>
      </c>
      <c r="AI565" s="14"/>
      <c r="AJ565" s="11">
        <f>IF(AN565=0,K565,0)</f>
        <v>0</v>
      </c>
      <c r="AK565" s="11">
        <f>IF(AN565=15,K565,0)</f>
        <v>0</v>
      </c>
      <c r="AL565" s="11">
        <f>IF(AN565=21,K565,0)</f>
        <v>0</v>
      </c>
      <c r="AN565" s="20">
        <v>21</v>
      </c>
      <c r="AO565" s="20">
        <f>H565*0.573961532715865</f>
        <v>0</v>
      </c>
      <c r="AP565" s="20">
        <f>H565*(1-0.573961532715865)</f>
        <v>0</v>
      </c>
      <c r="AQ565" s="21" t="s">
        <v>7</v>
      </c>
      <c r="AV565" s="20">
        <f>AW565+AX565</f>
        <v>0</v>
      </c>
      <c r="AW565" s="20">
        <f>G565*AO565</f>
        <v>0</v>
      </c>
      <c r="AX565" s="20">
        <f>G565*AP565</f>
        <v>0</v>
      </c>
      <c r="AY565" s="23" t="s">
        <v>947</v>
      </c>
      <c r="AZ565" s="23" t="s">
        <v>973</v>
      </c>
      <c r="BA565" s="14" t="s">
        <v>976</v>
      </c>
      <c r="BC565" s="20">
        <f>AW565+AX565</f>
        <v>0</v>
      </c>
      <c r="BD565" s="20">
        <f>H565/(100-BE565)*100</f>
        <v>0</v>
      </c>
      <c r="BE565" s="20">
        <v>0</v>
      </c>
      <c r="BF565" s="20">
        <f>M565</f>
        <v>12.629024999999999</v>
      </c>
      <c r="BH565" s="11">
        <f>G565*AO565</f>
        <v>0</v>
      </c>
      <c r="BI565" s="11">
        <f>G565*AP565</f>
        <v>0</v>
      </c>
      <c r="BJ565" s="11">
        <f>G565*H565</f>
        <v>0</v>
      </c>
      <c r="BK565" s="11" t="s">
        <v>981</v>
      </c>
      <c r="BL565" s="20">
        <v>91</v>
      </c>
    </row>
    <row r="566" spans="1:15" ht="12.75">
      <c r="A566" s="1"/>
      <c r="D566" s="8" t="s">
        <v>365</v>
      </c>
      <c r="E566" s="9" t="s">
        <v>867</v>
      </c>
      <c r="G566" s="12">
        <v>12.18</v>
      </c>
      <c r="N566" s="16"/>
      <c r="O566" s="1"/>
    </row>
    <row r="567" spans="1:15" ht="12.75">
      <c r="A567" s="1"/>
      <c r="D567" s="8" t="s">
        <v>678</v>
      </c>
      <c r="E567" s="9" t="s">
        <v>868</v>
      </c>
      <c r="G567" s="12">
        <v>38.05</v>
      </c>
      <c r="N567" s="16"/>
      <c r="O567" s="1"/>
    </row>
    <row r="568" spans="1:15" ht="12.75">
      <c r="A568" s="1"/>
      <c r="D568" s="8" t="s">
        <v>679</v>
      </c>
      <c r="E568" s="9" t="s">
        <v>869</v>
      </c>
      <c r="G568" s="12">
        <v>44.32</v>
      </c>
      <c r="N568" s="16"/>
      <c r="O568" s="1"/>
    </row>
    <row r="569" spans="1:15" ht="12.75">
      <c r="A569" s="1"/>
      <c r="D569" s="8" t="s">
        <v>680</v>
      </c>
      <c r="E569" s="9" t="s">
        <v>870</v>
      </c>
      <c r="G569" s="12">
        <v>28.66</v>
      </c>
      <c r="N569" s="16"/>
      <c r="O569" s="1"/>
    </row>
    <row r="570" spans="1:64" ht="12.75">
      <c r="A570" s="61" t="s">
        <v>120</v>
      </c>
      <c r="B570" s="7"/>
      <c r="C570" s="7" t="s">
        <v>293</v>
      </c>
      <c r="D570" s="179" t="s">
        <v>681</v>
      </c>
      <c r="E570" s="180"/>
      <c r="F570" s="7" t="s">
        <v>886</v>
      </c>
      <c r="G570" s="13">
        <v>135.531</v>
      </c>
      <c r="H570" s="104"/>
      <c r="I570" s="13">
        <f>G570*AO570</f>
        <v>0</v>
      </c>
      <c r="J570" s="13">
        <f>G570*AP570</f>
        <v>0</v>
      </c>
      <c r="K570" s="13">
        <f>G570*H570</f>
        <v>0</v>
      </c>
      <c r="L570" s="13">
        <v>0.027</v>
      </c>
      <c r="M570" s="13">
        <f>G570*L570</f>
        <v>3.6593370000000003</v>
      </c>
      <c r="N570" s="18" t="s">
        <v>912</v>
      </c>
      <c r="O570" s="1"/>
      <c r="Z570" s="20">
        <f>IF(AQ570="5",BJ570,0)</f>
        <v>0</v>
      </c>
      <c r="AB570" s="20">
        <f>IF(AQ570="1",BH570,0)</f>
        <v>0</v>
      </c>
      <c r="AC570" s="20">
        <f>IF(AQ570="1",BI570,0)</f>
        <v>0</v>
      </c>
      <c r="AD570" s="20">
        <f>IF(AQ570="7",BH570,0)</f>
        <v>0</v>
      </c>
      <c r="AE570" s="20">
        <f>IF(AQ570="7",BI570,0)</f>
        <v>0</v>
      </c>
      <c r="AF570" s="20">
        <f>IF(AQ570="2",BH570,0)</f>
        <v>0</v>
      </c>
      <c r="AG570" s="20">
        <f>IF(AQ570="2",BI570,0)</f>
        <v>0</v>
      </c>
      <c r="AH570" s="20">
        <f>IF(AQ570="0",BJ570,0)</f>
        <v>0</v>
      </c>
      <c r="AI570" s="14"/>
      <c r="AJ570" s="13">
        <f>IF(AN570=0,K570,0)</f>
        <v>0</v>
      </c>
      <c r="AK570" s="13">
        <f>IF(AN570=15,K570,0)</f>
        <v>0</v>
      </c>
      <c r="AL570" s="13">
        <f>IF(AN570=21,K570,0)</f>
        <v>0</v>
      </c>
      <c r="AN570" s="20">
        <v>21</v>
      </c>
      <c r="AO570" s="20">
        <f>H570*1</f>
        <v>0</v>
      </c>
      <c r="AP570" s="20">
        <f>H570*(1-1)</f>
        <v>0</v>
      </c>
      <c r="AQ570" s="22" t="s">
        <v>7</v>
      </c>
      <c r="AV570" s="20">
        <f>AW570+AX570</f>
        <v>0</v>
      </c>
      <c r="AW570" s="20">
        <f>G570*AO570</f>
        <v>0</v>
      </c>
      <c r="AX570" s="20">
        <f>G570*AP570</f>
        <v>0</v>
      </c>
      <c r="AY570" s="23" t="s">
        <v>947</v>
      </c>
      <c r="AZ570" s="23" t="s">
        <v>973</v>
      </c>
      <c r="BA570" s="14" t="s">
        <v>976</v>
      </c>
      <c r="BC570" s="20">
        <f>AW570+AX570</f>
        <v>0</v>
      </c>
      <c r="BD570" s="20">
        <f>H570/(100-BE570)*100</f>
        <v>0</v>
      </c>
      <c r="BE570" s="20">
        <v>0</v>
      </c>
      <c r="BF570" s="20">
        <f>M570</f>
        <v>3.6593370000000003</v>
      </c>
      <c r="BH570" s="13">
        <f>G570*AO570</f>
        <v>0</v>
      </c>
      <c r="BI570" s="13">
        <f>G570*AP570</f>
        <v>0</v>
      </c>
      <c r="BJ570" s="13">
        <f>G570*H570</f>
        <v>0</v>
      </c>
      <c r="BK570" s="13" t="s">
        <v>982</v>
      </c>
      <c r="BL570" s="20">
        <v>91</v>
      </c>
    </row>
    <row r="571" spans="1:15" ht="12.75">
      <c r="A571" s="1"/>
      <c r="D571" s="8" t="s">
        <v>682</v>
      </c>
      <c r="E571" s="9" t="s">
        <v>871</v>
      </c>
      <c r="G571" s="12">
        <v>135.531</v>
      </c>
      <c r="N571" s="16"/>
      <c r="O571" s="1"/>
    </row>
    <row r="572" spans="1:47" ht="12.75">
      <c r="A572" s="2"/>
      <c r="B572" s="6"/>
      <c r="C572" s="6" t="s">
        <v>98</v>
      </c>
      <c r="D572" s="174" t="s">
        <v>683</v>
      </c>
      <c r="E572" s="175"/>
      <c r="F572" s="10" t="s">
        <v>6</v>
      </c>
      <c r="G572" s="10" t="s">
        <v>6</v>
      </c>
      <c r="H572" s="10"/>
      <c r="I572" s="25">
        <f>SUM(I573:I573)</f>
        <v>0</v>
      </c>
      <c r="J572" s="25">
        <f>SUM(J573:J573)</f>
        <v>0</v>
      </c>
      <c r="K572" s="25">
        <f>SUM(K573:K573)</f>
        <v>0</v>
      </c>
      <c r="L572" s="14"/>
      <c r="M572" s="25">
        <f>SUM(M573:M573)</f>
        <v>0.03506615999999999</v>
      </c>
      <c r="N572" s="17"/>
      <c r="O572" s="1"/>
      <c r="AI572" s="14"/>
      <c r="AS572" s="25">
        <f>SUM(AJ573:AJ573)</f>
        <v>0</v>
      </c>
      <c r="AT572" s="25">
        <f>SUM(AK573:AK573)</f>
        <v>0</v>
      </c>
      <c r="AU572" s="25">
        <f>SUM(AL573:AL573)</f>
        <v>0</v>
      </c>
    </row>
    <row r="573" spans="1:64" ht="12.75">
      <c r="A573" s="60" t="s">
        <v>121</v>
      </c>
      <c r="B573" s="5"/>
      <c r="C573" s="5" t="s">
        <v>294</v>
      </c>
      <c r="D573" s="176" t="s">
        <v>684</v>
      </c>
      <c r="E573" s="177"/>
      <c r="F573" s="5" t="s">
        <v>881</v>
      </c>
      <c r="G573" s="11">
        <v>8.136</v>
      </c>
      <c r="H573" s="103"/>
      <c r="I573" s="11">
        <f>G573*AO573</f>
        <v>0</v>
      </c>
      <c r="J573" s="11">
        <f>G573*AP573</f>
        <v>0</v>
      </c>
      <c r="K573" s="11">
        <f>G573*H573</f>
        <v>0</v>
      </c>
      <c r="L573" s="11">
        <v>0.00431</v>
      </c>
      <c r="M573" s="11">
        <f>G573*L573</f>
        <v>0.03506615999999999</v>
      </c>
      <c r="N573" s="15" t="s">
        <v>912</v>
      </c>
      <c r="O573" s="1"/>
      <c r="Z573" s="20">
        <f>IF(AQ573="5",BJ573,0)</f>
        <v>0</v>
      </c>
      <c r="AB573" s="20">
        <f>IF(AQ573="1",BH573,0)</f>
        <v>0</v>
      </c>
      <c r="AC573" s="20">
        <f>IF(AQ573="1",BI573,0)</f>
        <v>0</v>
      </c>
      <c r="AD573" s="20">
        <f>IF(AQ573="7",BH573,0)</f>
        <v>0</v>
      </c>
      <c r="AE573" s="20">
        <f>IF(AQ573="7",BI573,0)</f>
        <v>0</v>
      </c>
      <c r="AF573" s="20">
        <f>IF(AQ573="2",BH573,0)</f>
        <v>0</v>
      </c>
      <c r="AG573" s="20">
        <f>IF(AQ573="2",BI573,0)</f>
        <v>0</v>
      </c>
      <c r="AH573" s="20">
        <f>IF(AQ573="0",BJ573,0)</f>
        <v>0</v>
      </c>
      <c r="AI573" s="14"/>
      <c r="AJ573" s="11">
        <f>IF(AN573=0,K573,0)</f>
        <v>0</v>
      </c>
      <c r="AK573" s="11">
        <f>IF(AN573=15,K573,0)</f>
        <v>0</v>
      </c>
      <c r="AL573" s="11">
        <f>IF(AN573=21,K573,0)</f>
        <v>0</v>
      </c>
      <c r="AN573" s="20">
        <v>21</v>
      </c>
      <c r="AO573" s="20">
        <f>H573*0.574189655172414</f>
        <v>0</v>
      </c>
      <c r="AP573" s="20">
        <f>H573*(1-0.574189655172414)</f>
        <v>0</v>
      </c>
      <c r="AQ573" s="21" t="s">
        <v>7</v>
      </c>
      <c r="AV573" s="20">
        <f>AW573+AX573</f>
        <v>0</v>
      </c>
      <c r="AW573" s="20">
        <f>G573*AO573</f>
        <v>0</v>
      </c>
      <c r="AX573" s="20">
        <f>G573*AP573</f>
        <v>0</v>
      </c>
      <c r="AY573" s="23" t="s">
        <v>948</v>
      </c>
      <c r="AZ573" s="23" t="s">
        <v>973</v>
      </c>
      <c r="BA573" s="14" t="s">
        <v>976</v>
      </c>
      <c r="BC573" s="20">
        <f>AW573+AX573</f>
        <v>0</v>
      </c>
      <c r="BD573" s="20">
        <f>H573/(100-BE573)*100</f>
        <v>0</v>
      </c>
      <c r="BE573" s="20">
        <v>0</v>
      </c>
      <c r="BF573" s="20">
        <f>M573</f>
        <v>0.03506615999999999</v>
      </c>
      <c r="BH573" s="11">
        <f>G573*AO573</f>
        <v>0</v>
      </c>
      <c r="BI573" s="11">
        <f>G573*AP573</f>
        <v>0</v>
      </c>
      <c r="BJ573" s="11">
        <f>G573*H573</f>
        <v>0</v>
      </c>
      <c r="BK573" s="11" t="s">
        <v>981</v>
      </c>
      <c r="BL573" s="20">
        <v>93</v>
      </c>
    </row>
    <row r="574" spans="1:15" ht="12.75">
      <c r="A574" s="1"/>
      <c r="D574" s="8" t="s">
        <v>685</v>
      </c>
      <c r="E574" s="9" t="s">
        <v>872</v>
      </c>
      <c r="G574" s="12">
        <v>8.136</v>
      </c>
      <c r="N574" s="16"/>
      <c r="O574" s="1"/>
    </row>
    <row r="575" spans="1:47" ht="12.75">
      <c r="A575" s="2"/>
      <c r="B575" s="6"/>
      <c r="C575" s="6" t="s">
        <v>99</v>
      </c>
      <c r="D575" s="174" t="s">
        <v>686</v>
      </c>
      <c r="E575" s="175"/>
      <c r="F575" s="10" t="s">
        <v>6</v>
      </c>
      <c r="G575" s="10" t="s">
        <v>6</v>
      </c>
      <c r="H575" s="10"/>
      <c r="I575" s="25">
        <f>SUM(I576:I612)</f>
        <v>0</v>
      </c>
      <c r="J575" s="25">
        <f>SUM(J576:J612)</f>
        <v>0</v>
      </c>
      <c r="K575" s="25">
        <f>SUM(K576:K612)</f>
        <v>0</v>
      </c>
      <c r="L575" s="14"/>
      <c r="M575" s="25">
        <f>SUM(M576:M612)</f>
        <v>24.458309200000002</v>
      </c>
      <c r="N575" s="17"/>
      <c r="O575" s="1"/>
      <c r="AI575" s="14"/>
      <c r="AS575" s="25">
        <f>SUM(AJ576:AJ612)</f>
        <v>0</v>
      </c>
      <c r="AT575" s="25">
        <f>SUM(AK576:AK612)</f>
        <v>0</v>
      </c>
      <c r="AU575" s="25">
        <f>SUM(AL576:AL612)</f>
        <v>0</v>
      </c>
    </row>
    <row r="576" spans="1:64" ht="12.75">
      <c r="A576" s="60" t="s">
        <v>122</v>
      </c>
      <c r="B576" s="5"/>
      <c r="C576" s="5" t="s">
        <v>295</v>
      </c>
      <c r="D576" s="176" t="s">
        <v>687</v>
      </c>
      <c r="E576" s="177"/>
      <c r="F576" s="5" t="s">
        <v>881</v>
      </c>
      <c r="G576" s="97">
        <v>992.34</v>
      </c>
      <c r="H576" s="103"/>
      <c r="I576" s="11">
        <f>G576*AO576</f>
        <v>0</v>
      </c>
      <c r="J576" s="11">
        <f>G576*AP576</f>
        <v>0</v>
      </c>
      <c r="K576" s="11">
        <f>G576*H576</f>
        <v>0</v>
      </c>
      <c r="L576" s="11">
        <v>0.01838</v>
      </c>
      <c r="M576" s="11">
        <f>G576*L576</f>
        <v>18.2392092</v>
      </c>
      <c r="N576" s="15" t="s">
        <v>912</v>
      </c>
      <c r="O576" s="1"/>
      <c r="Z576" s="20">
        <f>IF(AQ576="5",BJ576,0)</f>
        <v>0</v>
      </c>
      <c r="AB576" s="20">
        <f>IF(AQ576="1",BH576,0)</f>
        <v>0</v>
      </c>
      <c r="AC576" s="20">
        <f>IF(AQ576="1",BI576,0)</f>
        <v>0</v>
      </c>
      <c r="AD576" s="20">
        <f>IF(AQ576="7",BH576,0)</f>
        <v>0</v>
      </c>
      <c r="AE576" s="20">
        <f>IF(AQ576="7",BI576,0)</f>
        <v>0</v>
      </c>
      <c r="AF576" s="20">
        <f>IF(AQ576="2",BH576,0)</f>
        <v>0</v>
      </c>
      <c r="AG576" s="20">
        <f>IF(AQ576="2",BI576,0)</f>
        <v>0</v>
      </c>
      <c r="AH576" s="20">
        <f>IF(AQ576="0",BJ576,0)</f>
        <v>0</v>
      </c>
      <c r="AI576" s="14"/>
      <c r="AJ576" s="11">
        <f>IF(AN576=0,K576,0)</f>
        <v>0</v>
      </c>
      <c r="AK576" s="11">
        <f>IF(AN576=15,K576,0)</f>
        <v>0</v>
      </c>
      <c r="AL576" s="11">
        <f>IF(AN576=21,K576,0)</f>
        <v>0</v>
      </c>
      <c r="AN576" s="20">
        <v>21</v>
      </c>
      <c r="AO576" s="20">
        <f>H576*0.000587371477432308</f>
        <v>0</v>
      </c>
      <c r="AP576" s="20">
        <f>H576*(1-0.000587371477432308)</f>
        <v>0</v>
      </c>
      <c r="AQ576" s="21" t="s">
        <v>7</v>
      </c>
      <c r="AV576" s="20">
        <f>AW576+AX576</f>
        <v>0</v>
      </c>
      <c r="AW576" s="20">
        <f>G576*AO576</f>
        <v>0</v>
      </c>
      <c r="AX576" s="20">
        <f>G576*AP576</f>
        <v>0</v>
      </c>
      <c r="AY576" s="23" t="s">
        <v>949</v>
      </c>
      <c r="AZ576" s="23" t="s">
        <v>973</v>
      </c>
      <c r="BA576" s="14" t="s">
        <v>976</v>
      </c>
      <c r="BC576" s="20">
        <f>AW576+AX576</f>
        <v>0</v>
      </c>
      <c r="BD576" s="20">
        <f>H576/(100-BE576)*100</f>
        <v>0</v>
      </c>
      <c r="BE576" s="20">
        <v>0</v>
      </c>
      <c r="BF576" s="20">
        <f>M576</f>
        <v>18.2392092</v>
      </c>
      <c r="BH576" s="11">
        <f>G576*AO576</f>
        <v>0</v>
      </c>
      <c r="BI576" s="11">
        <f>G576*AP576</f>
        <v>0</v>
      </c>
      <c r="BJ576" s="11">
        <f>G576*H576</f>
        <v>0</v>
      </c>
      <c r="BK576" s="11" t="s">
        <v>981</v>
      </c>
      <c r="BL576" s="20">
        <v>94</v>
      </c>
    </row>
    <row r="577" spans="1:15" ht="12.75">
      <c r="A577" s="1"/>
      <c r="D577" s="8" t="s">
        <v>688</v>
      </c>
      <c r="E577" s="9" t="s">
        <v>791</v>
      </c>
      <c r="G577" s="12">
        <v>402.15</v>
      </c>
      <c r="N577" s="16"/>
      <c r="O577" s="1"/>
    </row>
    <row r="578" spans="1:15" ht="12.75">
      <c r="A578" s="1"/>
      <c r="D578" s="8" t="s">
        <v>689</v>
      </c>
      <c r="E578" s="9" t="s">
        <v>792</v>
      </c>
      <c r="G578" s="12">
        <v>420.917</v>
      </c>
      <c r="N578" s="16"/>
      <c r="O578" s="1"/>
    </row>
    <row r="579" spans="1:15" ht="12.75">
      <c r="A579" s="1"/>
      <c r="D579" s="8" t="s">
        <v>690</v>
      </c>
      <c r="E579" s="9" t="s">
        <v>818</v>
      </c>
      <c r="G579" s="12">
        <v>219.974</v>
      </c>
      <c r="N579" s="16"/>
      <c r="O579" s="1"/>
    </row>
    <row r="580" spans="1:15" ht="12.75">
      <c r="A580" s="1"/>
      <c r="D580" s="8" t="s">
        <v>422</v>
      </c>
      <c r="E580" s="9" t="s">
        <v>794</v>
      </c>
      <c r="G580" s="12">
        <v>-50.7</v>
      </c>
      <c r="N580" s="16"/>
      <c r="O580" s="1"/>
    </row>
    <row r="581" spans="1:64" ht="12.75">
      <c r="A581" s="60" t="s">
        <v>123</v>
      </c>
      <c r="B581" s="5"/>
      <c r="C581" s="5" t="s">
        <v>296</v>
      </c>
      <c r="D581" s="176" t="s">
        <v>691</v>
      </c>
      <c r="E581" s="177"/>
      <c r="F581" s="5" t="s">
        <v>881</v>
      </c>
      <c r="G581" s="97">
        <v>5954.05</v>
      </c>
      <c r="H581" s="103"/>
      <c r="I581" s="11">
        <f>G581*AO581</f>
        <v>0</v>
      </c>
      <c r="J581" s="11">
        <f>G581*AP581</f>
        <v>0</v>
      </c>
      <c r="K581" s="11">
        <f>G581*H581</f>
        <v>0</v>
      </c>
      <c r="L581" s="11">
        <v>0.00085</v>
      </c>
      <c r="M581" s="11">
        <f>G581*L581</f>
        <v>5.0609424999999995</v>
      </c>
      <c r="N581" s="15" t="s">
        <v>912</v>
      </c>
      <c r="O581" s="1"/>
      <c r="Z581" s="20">
        <f>IF(AQ581="5",BJ581,0)</f>
        <v>0</v>
      </c>
      <c r="AB581" s="20">
        <f>IF(AQ581="1",BH581,0)</f>
        <v>0</v>
      </c>
      <c r="AC581" s="20">
        <f>IF(AQ581="1",BI581,0)</f>
        <v>0</v>
      </c>
      <c r="AD581" s="20">
        <f>IF(AQ581="7",BH581,0)</f>
        <v>0</v>
      </c>
      <c r="AE581" s="20">
        <f>IF(AQ581="7",BI581,0)</f>
        <v>0</v>
      </c>
      <c r="AF581" s="20">
        <f>IF(AQ581="2",BH581,0)</f>
        <v>0</v>
      </c>
      <c r="AG581" s="20">
        <f>IF(AQ581="2",BI581,0)</f>
        <v>0</v>
      </c>
      <c r="AH581" s="20">
        <f>IF(AQ581="0",BJ581,0)</f>
        <v>0</v>
      </c>
      <c r="AI581" s="14"/>
      <c r="AJ581" s="11">
        <f>IF(AN581=0,K581,0)</f>
        <v>0</v>
      </c>
      <c r="AK581" s="11">
        <f>IF(AN581=15,K581,0)</f>
        <v>0</v>
      </c>
      <c r="AL581" s="11">
        <f>IF(AN581=21,K581,0)</f>
        <v>0</v>
      </c>
      <c r="AN581" s="20">
        <v>21</v>
      </c>
      <c r="AO581" s="20">
        <f>H581*0.912487729940175</f>
        <v>0</v>
      </c>
      <c r="AP581" s="20">
        <f>H581*(1-0.912487729940175)</f>
        <v>0</v>
      </c>
      <c r="AQ581" s="21" t="s">
        <v>7</v>
      </c>
      <c r="AV581" s="20">
        <f>AW581+AX581</f>
        <v>0</v>
      </c>
      <c r="AW581" s="20">
        <f>G581*AO581</f>
        <v>0</v>
      </c>
      <c r="AX581" s="20">
        <f>G581*AP581</f>
        <v>0</v>
      </c>
      <c r="AY581" s="23" t="s">
        <v>949</v>
      </c>
      <c r="AZ581" s="23" t="s">
        <v>973</v>
      </c>
      <c r="BA581" s="14" t="s">
        <v>976</v>
      </c>
      <c r="BC581" s="20">
        <f>AW581+AX581</f>
        <v>0</v>
      </c>
      <c r="BD581" s="20">
        <f>H581/(100-BE581)*100</f>
        <v>0</v>
      </c>
      <c r="BE581" s="20">
        <v>0</v>
      </c>
      <c r="BF581" s="20">
        <f>M581</f>
        <v>5.0609424999999995</v>
      </c>
      <c r="BH581" s="11">
        <f>G581*AO581</f>
        <v>0</v>
      </c>
      <c r="BI581" s="11">
        <f>G581*AP581</f>
        <v>0</v>
      </c>
      <c r="BJ581" s="11">
        <f>G581*H581</f>
        <v>0</v>
      </c>
      <c r="BK581" s="11" t="s">
        <v>981</v>
      </c>
      <c r="BL581" s="20">
        <v>94</v>
      </c>
    </row>
    <row r="582" spans="1:15" ht="12.75">
      <c r="A582" s="1"/>
      <c r="D582" s="8" t="s">
        <v>692</v>
      </c>
      <c r="E582" s="9" t="s">
        <v>791</v>
      </c>
      <c r="G582" s="12">
        <v>2412.9</v>
      </c>
      <c r="N582" s="16"/>
      <c r="O582" s="1"/>
    </row>
    <row r="583" spans="1:15" ht="12.75">
      <c r="A583" s="1"/>
      <c r="D583" s="8" t="s">
        <v>693</v>
      </c>
      <c r="E583" s="9" t="s">
        <v>792</v>
      </c>
      <c r="G583" s="12">
        <v>2525.502</v>
      </c>
      <c r="N583" s="16"/>
      <c r="O583" s="1"/>
    </row>
    <row r="584" spans="1:15" ht="12.75">
      <c r="A584" s="1"/>
      <c r="D584" s="8" t="s">
        <v>694</v>
      </c>
      <c r="E584" s="9" t="s">
        <v>818</v>
      </c>
      <c r="G584" s="12">
        <v>1319.844</v>
      </c>
      <c r="N584" s="16"/>
      <c r="O584" s="1"/>
    </row>
    <row r="585" spans="1:15" ht="12.75">
      <c r="A585" s="1"/>
      <c r="D585" s="8" t="s">
        <v>695</v>
      </c>
      <c r="E585" s="9" t="s">
        <v>794</v>
      </c>
      <c r="G585" s="12">
        <v>-304.2</v>
      </c>
      <c r="N585" s="16"/>
      <c r="O585" s="1"/>
    </row>
    <row r="586" spans="1:64" ht="12.75">
      <c r="A586" s="60" t="s">
        <v>124</v>
      </c>
      <c r="B586" s="5"/>
      <c r="C586" s="5" t="s">
        <v>297</v>
      </c>
      <c r="D586" s="176" t="s">
        <v>696</v>
      </c>
      <c r="E586" s="177"/>
      <c r="F586" s="5" t="s">
        <v>881</v>
      </c>
      <c r="G586" s="97">
        <v>992.34</v>
      </c>
      <c r="H586" s="103"/>
      <c r="I586" s="11">
        <f>G586*AO586</f>
        <v>0</v>
      </c>
      <c r="J586" s="11">
        <f>G586*AP586</f>
        <v>0</v>
      </c>
      <c r="K586" s="11">
        <f>G586*H586</f>
        <v>0</v>
      </c>
      <c r="L586" s="11">
        <v>0</v>
      </c>
      <c r="M586" s="11">
        <f>G586*L586</f>
        <v>0</v>
      </c>
      <c r="N586" s="15" t="s">
        <v>912</v>
      </c>
      <c r="O586" s="1"/>
      <c r="Z586" s="20">
        <f>IF(AQ586="5",BJ586,0)</f>
        <v>0</v>
      </c>
      <c r="AB586" s="20">
        <f>IF(AQ586="1",BH586,0)</f>
        <v>0</v>
      </c>
      <c r="AC586" s="20">
        <f>IF(AQ586="1",BI586,0)</f>
        <v>0</v>
      </c>
      <c r="AD586" s="20">
        <f>IF(AQ586="7",BH586,0)</f>
        <v>0</v>
      </c>
      <c r="AE586" s="20">
        <f>IF(AQ586="7",BI586,0)</f>
        <v>0</v>
      </c>
      <c r="AF586" s="20">
        <f>IF(AQ586="2",BH586,0)</f>
        <v>0</v>
      </c>
      <c r="AG586" s="20">
        <f>IF(AQ586="2",BI586,0)</f>
        <v>0</v>
      </c>
      <c r="AH586" s="20">
        <f>IF(AQ586="0",BJ586,0)</f>
        <v>0</v>
      </c>
      <c r="AI586" s="14"/>
      <c r="AJ586" s="11">
        <f>IF(AN586=0,K586,0)</f>
        <v>0</v>
      </c>
      <c r="AK586" s="11">
        <f>IF(AN586=15,K586,0)</f>
        <v>0</v>
      </c>
      <c r="AL586" s="11">
        <f>IF(AN586=21,K586,0)</f>
        <v>0</v>
      </c>
      <c r="AN586" s="20">
        <v>21</v>
      </c>
      <c r="AO586" s="20">
        <f>H586*0</f>
        <v>0</v>
      </c>
      <c r="AP586" s="20">
        <f>H586*(1-0)</f>
        <v>0</v>
      </c>
      <c r="AQ586" s="21" t="s">
        <v>7</v>
      </c>
      <c r="AV586" s="20">
        <f>AW586+AX586</f>
        <v>0</v>
      </c>
      <c r="AW586" s="20">
        <f>G586*AO586</f>
        <v>0</v>
      </c>
      <c r="AX586" s="20">
        <f>G586*AP586</f>
        <v>0</v>
      </c>
      <c r="AY586" s="23" t="s">
        <v>949</v>
      </c>
      <c r="AZ586" s="23" t="s">
        <v>973</v>
      </c>
      <c r="BA586" s="14" t="s">
        <v>976</v>
      </c>
      <c r="BC586" s="20">
        <f>AW586+AX586</f>
        <v>0</v>
      </c>
      <c r="BD586" s="20">
        <f>H586/(100-BE586)*100</f>
        <v>0</v>
      </c>
      <c r="BE586" s="20">
        <v>0</v>
      </c>
      <c r="BF586" s="20">
        <f>M586</f>
        <v>0</v>
      </c>
      <c r="BH586" s="11">
        <f>G586*AO586</f>
        <v>0</v>
      </c>
      <c r="BI586" s="11">
        <f>G586*AP586</f>
        <v>0</v>
      </c>
      <c r="BJ586" s="11">
        <f>G586*H586</f>
        <v>0</v>
      </c>
      <c r="BK586" s="11" t="s">
        <v>981</v>
      </c>
      <c r="BL586" s="20">
        <v>94</v>
      </c>
    </row>
    <row r="587" spans="1:15" ht="12.75">
      <c r="A587" s="1"/>
      <c r="D587" s="8" t="s">
        <v>688</v>
      </c>
      <c r="E587" s="9" t="s">
        <v>791</v>
      </c>
      <c r="G587" s="12">
        <v>402.15</v>
      </c>
      <c r="N587" s="16"/>
      <c r="O587" s="1"/>
    </row>
    <row r="588" spans="1:15" ht="12.75">
      <c r="A588" s="1"/>
      <c r="D588" s="8" t="s">
        <v>689</v>
      </c>
      <c r="E588" s="9" t="s">
        <v>792</v>
      </c>
      <c r="G588" s="12">
        <v>420.917</v>
      </c>
      <c r="N588" s="16"/>
      <c r="O588" s="1"/>
    </row>
    <row r="589" spans="1:15" ht="12.75">
      <c r="A589" s="1"/>
      <c r="D589" s="8" t="s">
        <v>690</v>
      </c>
      <c r="E589" s="9" t="s">
        <v>818</v>
      </c>
      <c r="G589" s="12">
        <v>219.974</v>
      </c>
      <c r="N589" s="16"/>
      <c r="O589" s="1"/>
    </row>
    <row r="590" spans="1:15" ht="12.75">
      <c r="A590" s="1"/>
      <c r="D590" s="8" t="s">
        <v>422</v>
      </c>
      <c r="E590" s="9" t="s">
        <v>794</v>
      </c>
      <c r="G590" s="12">
        <v>-50.7</v>
      </c>
      <c r="N590" s="16"/>
      <c r="O590" s="1"/>
    </row>
    <row r="591" spans="1:64" ht="12.75">
      <c r="A591" s="60" t="s">
        <v>125</v>
      </c>
      <c r="B591" s="5"/>
      <c r="C591" s="5" t="s">
        <v>298</v>
      </c>
      <c r="D591" s="176" t="s">
        <v>697</v>
      </c>
      <c r="E591" s="177"/>
      <c r="F591" s="5" t="s">
        <v>881</v>
      </c>
      <c r="G591" s="11">
        <v>992.34</v>
      </c>
      <c r="H591" s="103"/>
      <c r="I591" s="11">
        <f>G591*AO591</f>
        <v>0</v>
      </c>
      <c r="J591" s="11">
        <f>G591*AP591</f>
        <v>0</v>
      </c>
      <c r="K591" s="11">
        <f>G591*H591</f>
        <v>0</v>
      </c>
      <c r="L591" s="11">
        <v>0</v>
      </c>
      <c r="M591" s="11">
        <f>G591*L591</f>
        <v>0</v>
      </c>
      <c r="N591" s="15" t="s">
        <v>912</v>
      </c>
      <c r="O591" s="1"/>
      <c r="Z591" s="20">
        <f>IF(AQ591="5",BJ591,0)</f>
        <v>0</v>
      </c>
      <c r="AB591" s="20">
        <f>IF(AQ591="1",BH591,0)</f>
        <v>0</v>
      </c>
      <c r="AC591" s="20">
        <f>IF(AQ591="1",BI591,0)</f>
        <v>0</v>
      </c>
      <c r="AD591" s="20">
        <f>IF(AQ591="7",BH591,0)</f>
        <v>0</v>
      </c>
      <c r="AE591" s="20">
        <f>IF(AQ591="7",BI591,0)</f>
        <v>0</v>
      </c>
      <c r="AF591" s="20">
        <f>IF(AQ591="2",BH591,0)</f>
        <v>0</v>
      </c>
      <c r="AG591" s="20">
        <f>IF(AQ591="2",BI591,0)</f>
        <v>0</v>
      </c>
      <c r="AH591" s="20">
        <f>IF(AQ591="0",BJ591,0)</f>
        <v>0</v>
      </c>
      <c r="AI591" s="14"/>
      <c r="AJ591" s="11">
        <f>IF(AN591=0,K591,0)</f>
        <v>0</v>
      </c>
      <c r="AK591" s="11">
        <f>IF(AN591=15,K591,0)</f>
        <v>0</v>
      </c>
      <c r="AL591" s="11">
        <f>IF(AN591=21,K591,0)</f>
        <v>0</v>
      </c>
      <c r="AN591" s="20">
        <v>21</v>
      </c>
      <c r="AO591" s="20">
        <f>H591*0</f>
        <v>0</v>
      </c>
      <c r="AP591" s="20">
        <f>H591*(1-0)</f>
        <v>0</v>
      </c>
      <c r="AQ591" s="21" t="s">
        <v>7</v>
      </c>
      <c r="AV591" s="20">
        <f>AW591+AX591</f>
        <v>0</v>
      </c>
      <c r="AW591" s="20">
        <f>G591*AO591</f>
        <v>0</v>
      </c>
      <c r="AX591" s="20">
        <f>G591*AP591</f>
        <v>0</v>
      </c>
      <c r="AY591" s="23" t="s">
        <v>949</v>
      </c>
      <c r="AZ591" s="23" t="s">
        <v>973</v>
      </c>
      <c r="BA591" s="14" t="s">
        <v>976</v>
      </c>
      <c r="BC591" s="20">
        <f>AW591+AX591</f>
        <v>0</v>
      </c>
      <c r="BD591" s="20">
        <f>H591/(100-BE591)*100</f>
        <v>0</v>
      </c>
      <c r="BE591" s="20">
        <v>0</v>
      </c>
      <c r="BF591" s="20">
        <f>M591</f>
        <v>0</v>
      </c>
      <c r="BH591" s="11">
        <f>G591*AO591</f>
        <v>0</v>
      </c>
      <c r="BI591" s="11">
        <f>G591*AP591</f>
        <v>0</v>
      </c>
      <c r="BJ591" s="11">
        <f>G591*H591</f>
        <v>0</v>
      </c>
      <c r="BK591" s="11" t="s">
        <v>981</v>
      </c>
      <c r="BL591" s="20">
        <v>94</v>
      </c>
    </row>
    <row r="592" spans="1:15" ht="12.75">
      <c r="A592" s="1"/>
      <c r="D592" s="8" t="s">
        <v>688</v>
      </c>
      <c r="E592" s="9" t="s">
        <v>791</v>
      </c>
      <c r="G592" s="12">
        <v>402.15</v>
      </c>
      <c r="N592" s="16"/>
      <c r="O592" s="1"/>
    </row>
    <row r="593" spans="1:15" ht="12.75">
      <c r="A593" s="1"/>
      <c r="D593" s="8" t="s">
        <v>689</v>
      </c>
      <c r="E593" s="9" t="s">
        <v>792</v>
      </c>
      <c r="G593" s="12">
        <v>420.917</v>
      </c>
      <c r="N593" s="16"/>
      <c r="O593" s="1"/>
    </row>
    <row r="594" spans="1:15" ht="12.75">
      <c r="A594" s="1"/>
      <c r="D594" s="8" t="s">
        <v>690</v>
      </c>
      <c r="E594" s="9" t="s">
        <v>818</v>
      </c>
      <c r="G594" s="12">
        <v>219.974</v>
      </c>
      <c r="N594" s="16"/>
      <c r="O594" s="1"/>
    </row>
    <row r="595" spans="1:15" ht="12.75">
      <c r="A595" s="1"/>
      <c r="D595" s="8" t="s">
        <v>422</v>
      </c>
      <c r="E595" s="9" t="s">
        <v>794</v>
      </c>
      <c r="G595" s="12">
        <v>-50.7</v>
      </c>
      <c r="N595" s="16"/>
      <c r="O595" s="1"/>
    </row>
    <row r="596" spans="1:64" ht="12.75">
      <c r="A596" s="60" t="s">
        <v>126</v>
      </c>
      <c r="B596" s="5"/>
      <c r="C596" s="5" t="s">
        <v>299</v>
      </c>
      <c r="D596" s="176" t="s">
        <v>698</v>
      </c>
      <c r="E596" s="177"/>
      <c r="F596" s="5" t="s">
        <v>881</v>
      </c>
      <c r="G596" s="11">
        <v>5954.05</v>
      </c>
      <c r="H596" s="103"/>
      <c r="I596" s="11">
        <f>G596*AO596</f>
        <v>0</v>
      </c>
      <c r="J596" s="11">
        <f>G596*AP596</f>
        <v>0</v>
      </c>
      <c r="K596" s="11">
        <f>G596*H596</f>
        <v>0</v>
      </c>
      <c r="L596" s="11">
        <v>5E-05</v>
      </c>
      <c r="M596" s="11">
        <f>G596*L596</f>
        <v>0.29770250000000004</v>
      </c>
      <c r="N596" s="15" t="s">
        <v>912</v>
      </c>
      <c r="O596" s="1"/>
      <c r="Z596" s="20">
        <f>IF(AQ596="5",BJ596,0)</f>
        <v>0</v>
      </c>
      <c r="AB596" s="20">
        <f>IF(AQ596="1",BH596,0)</f>
        <v>0</v>
      </c>
      <c r="AC596" s="20">
        <f>IF(AQ596="1",BI596,0)</f>
        <v>0</v>
      </c>
      <c r="AD596" s="20">
        <f>IF(AQ596="7",BH596,0)</f>
        <v>0</v>
      </c>
      <c r="AE596" s="20">
        <f>IF(AQ596="7",BI596,0)</f>
        <v>0</v>
      </c>
      <c r="AF596" s="20">
        <f>IF(AQ596="2",BH596,0)</f>
        <v>0</v>
      </c>
      <c r="AG596" s="20">
        <f>IF(AQ596="2",BI596,0)</f>
        <v>0</v>
      </c>
      <c r="AH596" s="20">
        <f>IF(AQ596="0",BJ596,0)</f>
        <v>0</v>
      </c>
      <c r="AI596" s="14"/>
      <c r="AJ596" s="11">
        <f>IF(AN596=0,K596,0)</f>
        <v>0</v>
      </c>
      <c r="AK596" s="11">
        <f>IF(AN596=15,K596,0)</f>
        <v>0</v>
      </c>
      <c r="AL596" s="11">
        <f>IF(AN596=21,K596,0)</f>
        <v>0</v>
      </c>
      <c r="AN596" s="20">
        <v>21</v>
      </c>
      <c r="AO596" s="20">
        <f>H596*1.00000000732978</f>
        <v>0</v>
      </c>
      <c r="AP596" s="20">
        <f>H596*(1-1.00000000732978)</f>
        <v>0</v>
      </c>
      <c r="AQ596" s="21" t="s">
        <v>7</v>
      </c>
      <c r="AV596" s="20">
        <f>AW596+AX596</f>
        <v>0</v>
      </c>
      <c r="AW596" s="20">
        <f>G596*AO596</f>
        <v>0</v>
      </c>
      <c r="AX596" s="20">
        <f>G596*AP596</f>
        <v>0</v>
      </c>
      <c r="AY596" s="23" t="s">
        <v>949</v>
      </c>
      <c r="AZ596" s="23" t="s">
        <v>973</v>
      </c>
      <c r="BA596" s="14" t="s">
        <v>976</v>
      </c>
      <c r="BC596" s="20">
        <f>AW596+AX596</f>
        <v>0</v>
      </c>
      <c r="BD596" s="20">
        <f>H596/(100-BE596)*100</f>
        <v>0</v>
      </c>
      <c r="BE596" s="20">
        <v>0</v>
      </c>
      <c r="BF596" s="20">
        <f>M596</f>
        <v>0.29770250000000004</v>
      </c>
      <c r="BH596" s="11">
        <f>G596*AO596</f>
        <v>0</v>
      </c>
      <c r="BI596" s="11">
        <f>G596*AP596</f>
        <v>0</v>
      </c>
      <c r="BJ596" s="11">
        <f>G596*H596</f>
        <v>0</v>
      </c>
      <c r="BK596" s="11" t="s">
        <v>981</v>
      </c>
      <c r="BL596" s="20">
        <v>94</v>
      </c>
    </row>
    <row r="597" spans="1:15" ht="12.75">
      <c r="A597" s="1"/>
      <c r="D597" s="8" t="s">
        <v>692</v>
      </c>
      <c r="E597" s="9" t="s">
        <v>791</v>
      </c>
      <c r="G597" s="12">
        <v>2412.9</v>
      </c>
      <c r="N597" s="16"/>
      <c r="O597" s="1"/>
    </row>
    <row r="598" spans="1:15" ht="12.75">
      <c r="A598" s="1"/>
      <c r="D598" s="8" t="s">
        <v>693</v>
      </c>
      <c r="E598" s="9" t="s">
        <v>792</v>
      </c>
      <c r="G598" s="12">
        <v>2525.502</v>
      </c>
      <c r="N598" s="16"/>
      <c r="O598" s="1"/>
    </row>
    <row r="599" spans="1:15" ht="12.75">
      <c r="A599" s="1"/>
      <c r="D599" s="8" t="s">
        <v>694</v>
      </c>
      <c r="E599" s="9" t="s">
        <v>818</v>
      </c>
      <c r="G599" s="12">
        <v>1319.844</v>
      </c>
      <c r="N599" s="16"/>
      <c r="O599" s="1"/>
    </row>
    <row r="600" spans="1:15" ht="12.75">
      <c r="A600" s="1"/>
      <c r="D600" s="8" t="s">
        <v>695</v>
      </c>
      <c r="E600" s="9" t="s">
        <v>794</v>
      </c>
      <c r="G600" s="12">
        <v>-304.2</v>
      </c>
      <c r="N600" s="16"/>
      <c r="O600" s="1"/>
    </row>
    <row r="601" spans="1:64" ht="12.75">
      <c r="A601" s="60" t="s">
        <v>127</v>
      </c>
      <c r="B601" s="5"/>
      <c r="C601" s="5" t="s">
        <v>300</v>
      </c>
      <c r="D601" s="176" t="s">
        <v>699</v>
      </c>
      <c r="E601" s="177"/>
      <c r="F601" s="5" t="s">
        <v>881</v>
      </c>
      <c r="G601" s="11">
        <v>992.34</v>
      </c>
      <c r="H601" s="103"/>
      <c r="I601" s="11">
        <f>G601*AO601</f>
        <v>0</v>
      </c>
      <c r="J601" s="11">
        <f>G601*AP601</f>
        <v>0</v>
      </c>
      <c r="K601" s="11">
        <f>G601*H601</f>
        <v>0</v>
      </c>
      <c r="L601" s="11">
        <v>0</v>
      </c>
      <c r="M601" s="11">
        <f>G601*L601</f>
        <v>0</v>
      </c>
      <c r="N601" s="15" t="s">
        <v>912</v>
      </c>
      <c r="O601" s="1"/>
      <c r="Z601" s="20">
        <f>IF(AQ601="5",BJ601,0)</f>
        <v>0</v>
      </c>
      <c r="AB601" s="20">
        <f>IF(AQ601="1",BH601,0)</f>
        <v>0</v>
      </c>
      <c r="AC601" s="20">
        <f>IF(AQ601="1",BI601,0)</f>
        <v>0</v>
      </c>
      <c r="AD601" s="20">
        <f>IF(AQ601="7",BH601,0)</f>
        <v>0</v>
      </c>
      <c r="AE601" s="20">
        <f>IF(AQ601="7",BI601,0)</f>
        <v>0</v>
      </c>
      <c r="AF601" s="20">
        <f>IF(AQ601="2",BH601,0)</f>
        <v>0</v>
      </c>
      <c r="AG601" s="20">
        <f>IF(AQ601="2",BI601,0)</f>
        <v>0</v>
      </c>
      <c r="AH601" s="20">
        <f>IF(AQ601="0",BJ601,0)</f>
        <v>0</v>
      </c>
      <c r="AI601" s="14"/>
      <c r="AJ601" s="11">
        <f>IF(AN601=0,K601,0)</f>
        <v>0</v>
      </c>
      <c r="AK601" s="11">
        <f>IF(AN601=15,K601,0)</f>
        <v>0</v>
      </c>
      <c r="AL601" s="11">
        <f>IF(AN601=21,K601,0)</f>
        <v>0</v>
      </c>
      <c r="AN601" s="20">
        <v>21</v>
      </c>
      <c r="AO601" s="20">
        <f>H601*0</f>
        <v>0</v>
      </c>
      <c r="AP601" s="20">
        <f>H601*(1-0)</f>
        <v>0</v>
      </c>
      <c r="AQ601" s="21" t="s">
        <v>7</v>
      </c>
      <c r="AV601" s="20">
        <f>AW601+AX601</f>
        <v>0</v>
      </c>
      <c r="AW601" s="20">
        <f>G601*AO601</f>
        <v>0</v>
      </c>
      <c r="AX601" s="20">
        <f>G601*AP601</f>
        <v>0</v>
      </c>
      <c r="AY601" s="23" t="s">
        <v>949</v>
      </c>
      <c r="AZ601" s="23" t="s">
        <v>973</v>
      </c>
      <c r="BA601" s="14" t="s">
        <v>976</v>
      </c>
      <c r="BC601" s="20">
        <f>AW601+AX601</f>
        <v>0</v>
      </c>
      <c r="BD601" s="20">
        <f>H601/(100-BE601)*100</f>
        <v>0</v>
      </c>
      <c r="BE601" s="20">
        <v>0</v>
      </c>
      <c r="BF601" s="20">
        <f>M601</f>
        <v>0</v>
      </c>
      <c r="BH601" s="11">
        <f>G601*AO601</f>
        <v>0</v>
      </c>
      <c r="BI601" s="11">
        <f>G601*AP601</f>
        <v>0</v>
      </c>
      <c r="BJ601" s="11">
        <f>G601*H601</f>
        <v>0</v>
      </c>
      <c r="BK601" s="11" t="s">
        <v>981</v>
      </c>
      <c r="BL601" s="20">
        <v>94</v>
      </c>
    </row>
    <row r="602" spans="1:15" ht="12.75">
      <c r="A602" s="1"/>
      <c r="D602" s="8" t="s">
        <v>688</v>
      </c>
      <c r="E602" s="9" t="s">
        <v>791</v>
      </c>
      <c r="G602" s="12">
        <v>402.15</v>
      </c>
      <c r="N602" s="16"/>
      <c r="O602" s="1"/>
    </row>
    <row r="603" spans="1:15" ht="12.75">
      <c r="A603" s="1"/>
      <c r="D603" s="8" t="s">
        <v>689</v>
      </c>
      <c r="E603" s="9" t="s">
        <v>792</v>
      </c>
      <c r="G603" s="12">
        <v>420.917</v>
      </c>
      <c r="N603" s="16"/>
      <c r="O603" s="1"/>
    </row>
    <row r="604" spans="1:15" ht="12.75">
      <c r="A604" s="1"/>
      <c r="D604" s="8" t="s">
        <v>690</v>
      </c>
      <c r="E604" s="9" t="s">
        <v>818</v>
      </c>
      <c r="G604" s="12">
        <v>219.974</v>
      </c>
      <c r="N604" s="16"/>
      <c r="O604" s="1"/>
    </row>
    <row r="605" spans="1:15" ht="12.75">
      <c r="A605" s="1"/>
      <c r="D605" s="8" t="s">
        <v>422</v>
      </c>
      <c r="E605" s="9" t="s">
        <v>794</v>
      </c>
      <c r="G605" s="12">
        <v>-50.7</v>
      </c>
      <c r="N605" s="16"/>
      <c r="O605" s="1"/>
    </row>
    <row r="606" spans="1:64" ht="12.75">
      <c r="A606" s="60" t="s">
        <v>128</v>
      </c>
      <c r="B606" s="5"/>
      <c r="C606" s="5" t="s">
        <v>301</v>
      </c>
      <c r="D606" s="176" t="s">
        <v>700</v>
      </c>
      <c r="E606" s="177"/>
      <c r="F606" s="5" t="s">
        <v>883</v>
      </c>
      <c r="G606" s="11">
        <v>26.5</v>
      </c>
      <c r="H606" s="103"/>
      <c r="I606" s="11">
        <f>G606*AO606</f>
        <v>0</v>
      </c>
      <c r="J606" s="11">
        <f>G606*AP606</f>
        <v>0</v>
      </c>
      <c r="K606" s="11">
        <f>G606*H606</f>
        <v>0</v>
      </c>
      <c r="L606" s="11">
        <v>0.02191</v>
      </c>
      <c r="M606" s="11">
        <f>G606*L606</f>
        <v>0.580615</v>
      </c>
      <c r="N606" s="15" t="s">
        <v>912</v>
      </c>
      <c r="O606" s="1"/>
      <c r="Z606" s="20">
        <f>IF(AQ606="5",BJ606,0)</f>
        <v>0</v>
      </c>
      <c r="AB606" s="20">
        <f>IF(AQ606="1",BH606,0)</f>
        <v>0</v>
      </c>
      <c r="AC606" s="20">
        <f>IF(AQ606="1",BI606,0)</f>
        <v>0</v>
      </c>
      <c r="AD606" s="20">
        <f>IF(AQ606="7",BH606,0)</f>
        <v>0</v>
      </c>
      <c r="AE606" s="20">
        <f>IF(AQ606="7",BI606,0)</f>
        <v>0</v>
      </c>
      <c r="AF606" s="20">
        <f>IF(AQ606="2",BH606,0)</f>
        <v>0</v>
      </c>
      <c r="AG606" s="20">
        <f>IF(AQ606="2",BI606,0)</f>
        <v>0</v>
      </c>
      <c r="AH606" s="20">
        <f>IF(AQ606="0",BJ606,0)</f>
        <v>0</v>
      </c>
      <c r="AI606" s="14"/>
      <c r="AJ606" s="11">
        <f>IF(AN606=0,K606,0)</f>
        <v>0</v>
      </c>
      <c r="AK606" s="11">
        <f>IF(AN606=15,K606,0)</f>
        <v>0</v>
      </c>
      <c r="AL606" s="11">
        <f>IF(AN606=21,K606,0)</f>
        <v>0</v>
      </c>
      <c r="AN606" s="20">
        <v>21</v>
      </c>
      <c r="AO606" s="20">
        <f>H606*0.320821899299748</f>
        <v>0</v>
      </c>
      <c r="AP606" s="20">
        <f>H606*(1-0.320821899299748)</f>
        <v>0</v>
      </c>
      <c r="AQ606" s="21" t="s">
        <v>7</v>
      </c>
      <c r="AV606" s="20">
        <f>AW606+AX606</f>
        <v>0</v>
      </c>
      <c r="AW606" s="20">
        <f>G606*AO606</f>
        <v>0</v>
      </c>
      <c r="AX606" s="20">
        <f>G606*AP606</f>
        <v>0</v>
      </c>
      <c r="AY606" s="23" t="s">
        <v>949</v>
      </c>
      <c r="AZ606" s="23" t="s">
        <v>973</v>
      </c>
      <c r="BA606" s="14" t="s">
        <v>976</v>
      </c>
      <c r="BC606" s="20">
        <f>AW606+AX606</f>
        <v>0</v>
      </c>
      <c r="BD606" s="20">
        <f>H606/(100-BE606)*100</f>
        <v>0</v>
      </c>
      <c r="BE606" s="20">
        <v>0</v>
      </c>
      <c r="BF606" s="20">
        <f>M606</f>
        <v>0.580615</v>
      </c>
      <c r="BH606" s="11">
        <f>G606*AO606</f>
        <v>0</v>
      </c>
      <c r="BI606" s="11">
        <f>G606*AP606</f>
        <v>0</v>
      </c>
      <c r="BJ606" s="11">
        <f>G606*H606</f>
        <v>0</v>
      </c>
      <c r="BK606" s="11" t="s">
        <v>981</v>
      </c>
      <c r="BL606" s="20">
        <v>94</v>
      </c>
    </row>
    <row r="607" spans="1:15" ht="12.75">
      <c r="A607" s="1"/>
      <c r="D607" s="8" t="s">
        <v>701</v>
      </c>
      <c r="E607" s="9"/>
      <c r="G607" s="12">
        <v>26.5</v>
      </c>
      <c r="N607" s="16"/>
      <c r="O607" s="1"/>
    </row>
    <row r="608" spans="1:64" ht="12.75">
      <c r="A608" s="60" t="s">
        <v>129</v>
      </c>
      <c r="B608" s="5"/>
      <c r="C608" s="5" t="s">
        <v>302</v>
      </c>
      <c r="D608" s="176" t="s">
        <v>702</v>
      </c>
      <c r="E608" s="177"/>
      <c r="F608" s="5" t="s">
        <v>883</v>
      </c>
      <c r="G608" s="11">
        <v>159</v>
      </c>
      <c r="H608" s="11"/>
      <c r="I608" s="11">
        <f>G608*AO608</f>
        <v>0</v>
      </c>
      <c r="J608" s="11">
        <f>G608*AP608</f>
        <v>0</v>
      </c>
      <c r="K608" s="11">
        <f>G608*H608</f>
        <v>0</v>
      </c>
      <c r="L608" s="11">
        <v>0.00176</v>
      </c>
      <c r="M608" s="11">
        <f>G608*L608</f>
        <v>0.27984000000000003</v>
      </c>
      <c r="N608" s="15" t="s">
        <v>912</v>
      </c>
      <c r="O608" s="1"/>
      <c r="Z608" s="20">
        <f>IF(AQ608="5",BJ608,0)</f>
        <v>0</v>
      </c>
      <c r="AB608" s="20">
        <f>IF(AQ608="1",BH608,0)</f>
        <v>0</v>
      </c>
      <c r="AC608" s="20">
        <f>IF(AQ608="1",BI608,0)</f>
        <v>0</v>
      </c>
      <c r="AD608" s="20">
        <f>IF(AQ608="7",BH608,0)</f>
        <v>0</v>
      </c>
      <c r="AE608" s="20">
        <f>IF(AQ608="7",BI608,0)</f>
        <v>0</v>
      </c>
      <c r="AF608" s="20">
        <f>IF(AQ608="2",BH608,0)</f>
        <v>0</v>
      </c>
      <c r="AG608" s="20">
        <f>IF(AQ608="2",BI608,0)</f>
        <v>0</v>
      </c>
      <c r="AH608" s="20">
        <f>IF(AQ608="0",BJ608,0)</f>
        <v>0</v>
      </c>
      <c r="AI608" s="14"/>
      <c r="AJ608" s="11">
        <f>IF(AN608=0,K608,0)</f>
        <v>0</v>
      </c>
      <c r="AK608" s="11">
        <f>IF(AN608=15,K608,0)</f>
        <v>0</v>
      </c>
      <c r="AL608" s="11">
        <f>IF(AN608=21,K608,0)</f>
        <v>0</v>
      </c>
      <c r="AN608" s="20">
        <v>21</v>
      </c>
      <c r="AO608" s="20">
        <f>H608*0.893712574850299</f>
        <v>0</v>
      </c>
      <c r="AP608" s="20">
        <f>H608*(1-0.893712574850299)</f>
        <v>0</v>
      </c>
      <c r="AQ608" s="21" t="s">
        <v>7</v>
      </c>
      <c r="AV608" s="20">
        <f>AW608+AX608</f>
        <v>0</v>
      </c>
      <c r="AW608" s="20">
        <f>G608*AO608</f>
        <v>0</v>
      </c>
      <c r="AX608" s="20">
        <f>G608*AP608</f>
        <v>0</v>
      </c>
      <c r="AY608" s="23" t="s">
        <v>949</v>
      </c>
      <c r="AZ608" s="23" t="s">
        <v>973</v>
      </c>
      <c r="BA608" s="14" t="s">
        <v>976</v>
      </c>
      <c r="BC608" s="20">
        <f>AW608+AX608</f>
        <v>0</v>
      </c>
      <c r="BD608" s="20">
        <f>H608/(100-BE608)*100</f>
        <v>0</v>
      </c>
      <c r="BE608" s="20">
        <v>0</v>
      </c>
      <c r="BF608" s="20">
        <f>M608</f>
        <v>0.27984000000000003</v>
      </c>
      <c r="BH608" s="11">
        <f>G608*AO608</f>
        <v>0</v>
      </c>
      <c r="BI608" s="11">
        <f>G608*AP608</f>
        <v>0</v>
      </c>
      <c r="BJ608" s="11">
        <f>G608*H608</f>
        <v>0</v>
      </c>
      <c r="BK608" s="11" t="s">
        <v>981</v>
      </c>
      <c r="BL608" s="20">
        <v>94</v>
      </c>
    </row>
    <row r="609" spans="1:15" ht="12.75">
      <c r="A609" s="1"/>
      <c r="D609" s="8" t="s">
        <v>703</v>
      </c>
      <c r="E609" s="9"/>
      <c r="G609" s="12">
        <v>159</v>
      </c>
      <c r="N609" s="16"/>
      <c r="O609" s="1"/>
    </row>
    <row r="610" spans="1:64" ht="12.75">
      <c r="A610" s="60" t="s">
        <v>130</v>
      </c>
      <c r="B610" s="5"/>
      <c r="C610" s="5" t="s">
        <v>303</v>
      </c>
      <c r="D610" s="176" t="s">
        <v>704</v>
      </c>
      <c r="E610" s="177"/>
      <c r="F610" s="5" t="s">
        <v>883</v>
      </c>
      <c r="G610" s="11">
        <v>26.5</v>
      </c>
      <c r="H610" s="103"/>
      <c r="I610" s="11">
        <f>G610*AO610</f>
        <v>0</v>
      </c>
      <c r="J610" s="11">
        <f>G610*AP610</f>
        <v>0</v>
      </c>
      <c r="K610" s="11">
        <f>G610*H610</f>
        <v>0</v>
      </c>
      <c r="L610" s="11">
        <v>0</v>
      </c>
      <c r="M610" s="11">
        <f>G610*L610</f>
        <v>0</v>
      </c>
      <c r="N610" s="15" t="s">
        <v>912</v>
      </c>
      <c r="O610" s="1"/>
      <c r="Z610" s="20">
        <f>IF(AQ610="5",BJ610,0)</f>
        <v>0</v>
      </c>
      <c r="AB610" s="20">
        <f>IF(AQ610="1",BH610,0)</f>
        <v>0</v>
      </c>
      <c r="AC610" s="20">
        <f>IF(AQ610="1",BI610,0)</f>
        <v>0</v>
      </c>
      <c r="AD610" s="20">
        <f>IF(AQ610="7",BH610,0)</f>
        <v>0</v>
      </c>
      <c r="AE610" s="20">
        <f>IF(AQ610="7",BI610,0)</f>
        <v>0</v>
      </c>
      <c r="AF610" s="20">
        <f>IF(AQ610="2",BH610,0)</f>
        <v>0</v>
      </c>
      <c r="AG610" s="20">
        <f>IF(AQ610="2",BI610,0)</f>
        <v>0</v>
      </c>
      <c r="AH610" s="20">
        <f>IF(AQ610="0",BJ610,0)</f>
        <v>0</v>
      </c>
      <c r="AI610" s="14"/>
      <c r="AJ610" s="11">
        <f>IF(AN610=0,K610,0)</f>
        <v>0</v>
      </c>
      <c r="AK610" s="11">
        <f>IF(AN610=15,K610,0)</f>
        <v>0</v>
      </c>
      <c r="AL610" s="11">
        <f>IF(AN610=21,K610,0)</f>
        <v>0</v>
      </c>
      <c r="AN610" s="20">
        <v>21</v>
      </c>
      <c r="AO610" s="20">
        <f>H610*0</f>
        <v>0</v>
      </c>
      <c r="AP610" s="20">
        <f>H610*(1-0)</f>
        <v>0</v>
      </c>
      <c r="AQ610" s="21" t="s">
        <v>7</v>
      </c>
      <c r="AV610" s="20">
        <f>AW610+AX610</f>
        <v>0</v>
      </c>
      <c r="AW610" s="20">
        <f>G610*AO610</f>
        <v>0</v>
      </c>
      <c r="AX610" s="20">
        <f>G610*AP610</f>
        <v>0</v>
      </c>
      <c r="AY610" s="23" t="s">
        <v>949</v>
      </c>
      <c r="AZ610" s="23" t="s">
        <v>973</v>
      </c>
      <c r="BA610" s="14" t="s">
        <v>976</v>
      </c>
      <c r="BC610" s="20">
        <f>AW610+AX610</f>
        <v>0</v>
      </c>
      <c r="BD610" s="20">
        <f>H610/(100-BE610)*100</f>
        <v>0</v>
      </c>
      <c r="BE610" s="20">
        <v>0</v>
      </c>
      <c r="BF610" s="20">
        <f>M610</f>
        <v>0</v>
      </c>
      <c r="BH610" s="11">
        <f>G610*AO610</f>
        <v>0</v>
      </c>
      <c r="BI610" s="11">
        <f>G610*AP610</f>
        <v>0</v>
      </c>
      <c r="BJ610" s="11">
        <f>G610*H610</f>
        <v>0</v>
      </c>
      <c r="BK610" s="11" t="s">
        <v>981</v>
      </c>
      <c r="BL610" s="20">
        <v>94</v>
      </c>
    </row>
    <row r="611" spans="1:15" ht="12.75">
      <c r="A611" s="1"/>
      <c r="D611" s="8" t="s">
        <v>701</v>
      </c>
      <c r="E611" s="9"/>
      <c r="G611" s="12">
        <v>26.5</v>
      </c>
      <c r="N611" s="16"/>
      <c r="O611" s="1"/>
    </row>
    <row r="612" spans="1:64" ht="12.75">
      <c r="A612" s="60" t="s">
        <v>131</v>
      </c>
      <c r="B612" s="5"/>
      <c r="C612" s="5" t="s">
        <v>304</v>
      </c>
      <c r="D612" s="176" t="s">
        <v>705</v>
      </c>
      <c r="E612" s="177"/>
      <c r="F612" s="5" t="s">
        <v>887</v>
      </c>
      <c r="G612" s="11">
        <v>16.8635</v>
      </c>
      <c r="H612" s="103"/>
      <c r="I612" s="11">
        <f>G612*AO612</f>
        <v>0</v>
      </c>
      <c r="J612" s="11">
        <f>G612*AP612</f>
        <v>0</v>
      </c>
      <c r="K612" s="11">
        <f>G612*H612</f>
        <v>0</v>
      </c>
      <c r="L612" s="11">
        <v>0</v>
      </c>
      <c r="M612" s="11">
        <f>G612*L612</f>
        <v>0</v>
      </c>
      <c r="N612" s="15" t="s">
        <v>912</v>
      </c>
      <c r="O612" s="1"/>
      <c r="Z612" s="20">
        <f>IF(AQ612="5",BJ612,0)</f>
        <v>0</v>
      </c>
      <c r="AB612" s="20">
        <f>IF(AQ612="1",BH612,0)</f>
        <v>0</v>
      </c>
      <c r="AC612" s="20">
        <f>IF(AQ612="1",BI612,0)</f>
        <v>0</v>
      </c>
      <c r="AD612" s="20">
        <f>IF(AQ612="7",BH612,0)</f>
        <v>0</v>
      </c>
      <c r="AE612" s="20">
        <f>IF(AQ612="7",BI612,0)</f>
        <v>0</v>
      </c>
      <c r="AF612" s="20">
        <f>IF(AQ612="2",BH612,0)</f>
        <v>0</v>
      </c>
      <c r="AG612" s="20">
        <f>IF(AQ612="2",BI612,0)</f>
        <v>0</v>
      </c>
      <c r="AH612" s="20">
        <f>IF(AQ612="0",BJ612,0)</f>
        <v>0</v>
      </c>
      <c r="AI612" s="14"/>
      <c r="AJ612" s="11">
        <f>IF(AN612=0,K612,0)</f>
        <v>0</v>
      </c>
      <c r="AK612" s="11">
        <f>IF(AN612=15,K612,0)</f>
        <v>0</v>
      </c>
      <c r="AL612" s="11">
        <f>IF(AN612=21,K612,0)</f>
        <v>0</v>
      </c>
      <c r="AN612" s="20">
        <v>21</v>
      </c>
      <c r="AO612" s="20">
        <f>H612*0</f>
        <v>0</v>
      </c>
      <c r="AP612" s="20">
        <f>H612*(1-0)</f>
        <v>0</v>
      </c>
      <c r="AQ612" s="21" t="s">
        <v>11</v>
      </c>
      <c r="AV612" s="20">
        <f>AW612+AX612</f>
        <v>0</v>
      </c>
      <c r="AW612" s="20">
        <f>G612*AO612</f>
        <v>0</v>
      </c>
      <c r="AX612" s="20">
        <f>G612*AP612</f>
        <v>0</v>
      </c>
      <c r="AY612" s="23" t="s">
        <v>949</v>
      </c>
      <c r="AZ612" s="23" t="s">
        <v>973</v>
      </c>
      <c r="BA612" s="14" t="s">
        <v>976</v>
      </c>
      <c r="BC612" s="20">
        <f>AW612+AX612</f>
        <v>0</v>
      </c>
      <c r="BD612" s="20">
        <f>H612/(100-BE612)*100</f>
        <v>0</v>
      </c>
      <c r="BE612" s="20">
        <v>0</v>
      </c>
      <c r="BF612" s="20">
        <f>M612</f>
        <v>0</v>
      </c>
      <c r="BH612" s="11">
        <f>G612*AO612</f>
        <v>0</v>
      </c>
      <c r="BI612" s="11">
        <f>G612*AP612</f>
        <v>0</v>
      </c>
      <c r="BJ612" s="11">
        <f>G612*H612</f>
        <v>0</v>
      </c>
      <c r="BK612" s="11" t="s">
        <v>981</v>
      </c>
      <c r="BL612" s="20">
        <v>94</v>
      </c>
    </row>
    <row r="613" spans="1:47" ht="12.75">
      <c r="A613" s="2"/>
      <c r="B613" s="6"/>
      <c r="C613" s="6" t="s">
        <v>100</v>
      </c>
      <c r="D613" s="174" t="s">
        <v>706</v>
      </c>
      <c r="E613" s="175"/>
      <c r="F613" s="10" t="s">
        <v>6</v>
      </c>
      <c r="G613" s="10" t="s">
        <v>6</v>
      </c>
      <c r="H613" s="10"/>
      <c r="I613" s="25">
        <f>SUM(I614:I620)</f>
        <v>0</v>
      </c>
      <c r="J613" s="25">
        <f>SUM(J614:J620)</f>
        <v>0</v>
      </c>
      <c r="K613" s="25">
        <f>SUM(K614:K620)</f>
        <v>0</v>
      </c>
      <c r="L613" s="14"/>
      <c r="M613" s="25">
        <f>SUM(M614:M620)</f>
        <v>0.004</v>
      </c>
      <c r="N613" s="17"/>
      <c r="O613" s="1"/>
      <c r="AI613" s="14"/>
      <c r="AS613" s="25">
        <f>SUM(AJ614:AJ620)</f>
        <v>0</v>
      </c>
      <c r="AT613" s="25">
        <f>SUM(AK614:AK620)</f>
        <v>0</v>
      </c>
      <c r="AU613" s="25">
        <f>SUM(AL614:AL620)</f>
        <v>0</v>
      </c>
    </row>
    <row r="614" spans="1:64" ht="12.75">
      <c r="A614" s="60" t="s">
        <v>132</v>
      </c>
      <c r="B614" s="5"/>
      <c r="C614" s="5" t="s">
        <v>305</v>
      </c>
      <c r="D614" s="176" t="s">
        <v>707</v>
      </c>
      <c r="E614" s="177"/>
      <c r="F614" s="5" t="s">
        <v>881</v>
      </c>
      <c r="G614" s="11">
        <v>100</v>
      </c>
      <c r="H614" s="103"/>
      <c r="I614" s="11">
        <f>G614*AO614</f>
        <v>0</v>
      </c>
      <c r="J614" s="11">
        <f>G614*AP614</f>
        <v>0</v>
      </c>
      <c r="K614" s="11">
        <f>G614*H614</f>
        <v>0</v>
      </c>
      <c r="L614" s="11">
        <v>4E-05</v>
      </c>
      <c r="M614" s="11">
        <f>G614*L614</f>
        <v>0.004</v>
      </c>
      <c r="N614" s="15" t="s">
        <v>912</v>
      </c>
      <c r="O614" s="1"/>
      <c r="Z614" s="20">
        <f>IF(AQ614="5",BJ614,0)</f>
        <v>0</v>
      </c>
      <c r="AB614" s="20">
        <f>IF(AQ614="1",BH614,0)</f>
        <v>0</v>
      </c>
      <c r="AC614" s="20">
        <f>IF(AQ614="1",BI614,0)</f>
        <v>0</v>
      </c>
      <c r="AD614" s="20">
        <f>IF(AQ614="7",BH614,0)</f>
        <v>0</v>
      </c>
      <c r="AE614" s="20">
        <f>IF(AQ614="7",BI614,0)</f>
        <v>0</v>
      </c>
      <c r="AF614" s="20">
        <f>IF(AQ614="2",BH614,0)</f>
        <v>0</v>
      </c>
      <c r="AG614" s="20">
        <f>IF(AQ614="2",BI614,0)</f>
        <v>0</v>
      </c>
      <c r="AH614" s="20">
        <f>IF(AQ614="0",BJ614,0)</f>
        <v>0</v>
      </c>
      <c r="AI614" s="14"/>
      <c r="AJ614" s="11">
        <f>IF(AN614=0,K614,0)</f>
        <v>0</v>
      </c>
      <c r="AK614" s="11">
        <f>IF(AN614=15,K614,0)</f>
        <v>0</v>
      </c>
      <c r="AL614" s="11">
        <f>IF(AN614=21,K614,0)</f>
        <v>0</v>
      </c>
      <c r="AN614" s="20">
        <v>21</v>
      </c>
      <c r="AO614" s="20">
        <f>H614*0.012078431372549</f>
        <v>0</v>
      </c>
      <c r="AP614" s="20">
        <f>H614*(1-0.012078431372549)</f>
        <v>0</v>
      </c>
      <c r="AQ614" s="21" t="s">
        <v>7</v>
      </c>
      <c r="AV614" s="20">
        <f>AW614+AX614</f>
        <v>0</v>
      </c>
      <c r="AW614" s="20">
        <f>G614*AO614</f>
        <v>0</v>
      </c>
      <c r="AX614" s="20">
        <f>G614*AP614</f>
        <v>0</v>
      </c>
      <c r="AY614" s="23" t="s">
        <v>950</v>
      </c>
      <c r="AZ614" s="23" t="s">
        <v>973</v>
      </c>
      <c r="BA614" s="14" t="s">
        <v>976</v>
      </c>
      <c r="BC614" s="20">
        <f>AW614+AX614</f>
        <v>0</v>
      </c>
      <c r="BD614" s="20">
        <f>H614/(100-BE614)*100</f>
        <v>0</v>
      </c>
      <c r="BE614" s="20">
        <v>0</v>
      </c>
      <c r="BF614" s="20">
        <f>M614</f>
        <v>0.004</v>
      </c>
      <c r="BH614" s="11">
        <f>G614*AO614</f>
        <v>0</v>
      </c>
      <c r="BI614" s="11">
        <f>G614*AP614</f>
        <v>0</v>
      </c>
      <c r="BJ614" s="11">
        <f>G614*H614</f>
        <v>0</v>
      </c>
      <c r="BK614" s="11" t="s">
        <v>981</v>
      </c>
      <c r="BL614" s="20">
        <v>95</v>
      </c>
    </row>
    <row r="615" spans="1:15" ht="12.75">
      <c r="A615" s="1"/>
      <c r="D615" s="8" t="s">
        <v>105</v>
      </c>
      <c r="E615" s="9" t="s">
        <v>873</v>
      </c>
      <c r="G615" s="12">
        <v>100</v>
      </c>
      <c r="N615" s="16"/>
      <c r="O615" s="1"/>
    </row>
    <row r="616" spans="1:64" ht="12.75">
      <c r="A616" s="60" t="s">
        <v>1032</v>
      </c>
      <c r="B616" s="5"/>
      <c r="C616" s="5" t="s">
        <v>306</v>
      </c>
      <c r="D616" s="176" t="s">
        <v>708</v>
      </c>
      <c r="E616" s="177"/>
      <c r="F616" s="5" t="s">
        <v>888</v>
      </c>
      <c r="G616" s="11">
        <v>2</v>
      </c>
      <c r="H616" s="103"/>
      <c r="I616" s="11">
        <f>G616*AO616</f>
        <v>0</v>
      </c>
      <c r="J616" s="11">
        <f>G616*AP616</f>
        <v>0</v>
      </c>
      <c r="K616" s="11">
        <f>G616*H616</f>
        <v>0</v>
      </c>
      <c r="L616" s="11">
        <v>0</v>
      </c>
      <c r="M616" s="11">
        <f>G616*L616</f>
        <v>0</v>
      </c>
      <c r="N616" s="15" t="s">
        <v>913</v>
      </c>
      <c r="O616" s="1"/>
      <c r="Z616" s="20">
        <f>IF(AQ616="5",BJ616,0)</f>
        <v>0</v>
      </c>
      <c r="AB616" s="20">
        <f>IF(AQ616="1",BH616,0)</f>
        <v>0</v>
      </c>
      <c r="AC616" s="20">
        <f>IF(AQ616="1",BI616,0)</f>
        <v>0</v>
      </c>
      <c r="AD616" s="20">
        <f>IF(AQ616="7",BH616,0)</f>
        <v>0</v>
      </c>
      <c r="AE616" s="20">
        <f>IF(AQ616="7",BI616,0)</f>
        <v>0</v>
      </c>
      <c r="AF616" s="20">
        <f>IF(AQ616="2",BH616,0)</f>
        <v>0</v>
      </c>
      <c r="AG616" s="20">
        <f>IF(AQ616="2",BI616,0)</f>
        <v>0</v>
      </c>
      <c r="AH616" s="20">
        <f>IF(AQ616="0",BJ616,0)</f>
        <v>0</v>
      </c>
      <c r="AI616" s="14"/>
      <c r="AJ616" s="11">
        <f>IF(AN616=0,K616,0)</f>
        <v>0</v>
      </c>
      <c r="AK616" s="11">
        <f>IF(AN616=15,K616,0)</f>
        <v>0</v>
      </c>
      <c r="AL616" s="11">
        <f>IF(AN616=21,K616,0)</f>
        <v>0</v>
      </c>
      <c r="AN616" s="20">
        <v>21</v>
      </c>
      <c r="AO616" s="20">
        <f>H616*0.4</f>
        <v>0</v>
      </c>
      <c r="AP616" s="20">
        <f>H616*(1-0.4)</f>
        <v>0</v>
      </c>
      <c r="AQ616" s="21" t="s">
        <v>7</v>
      </c>
      <c r="AV616" s="20">
        <f>AW616+AX616</f>
        <v>0</v>
      </c>
      <c r="AW616" s="20">
        <f>G616*AO616</f>
        <v>0</v>
      </c>
      <c r="AX616" s="20">
        <f>G616*AP616</f>
        <v>0</v>
      </c>
      <c r="AY616" s="23" t="s">
        <v>950</v>
      </c>
      <c r="AZ616" s="23" t="s">
        <v>973</v>
      </c>
      <c r="BA616" s="14" t="s">
        <v>976</v>
      </c>
      <c r="BC616" s="20">
        <f>AW616+AX616</f>
        <v>0</v>
      </c>
      <c r="BD616" s="20">
        <f>H616/(100-BE616)*100</f>
        <v>0</v>
      </c>
      <c r="BE616" s="20">
        <v>0</v>
      </c>
      <c r="BF616" s="20">
        <f>M616</f>
        <v>0</v>
      </c>
      <c r="BH616" s="11">
        <f>G616*AO616</f>
        <v>0</v>
      </c>
      <c r="BI616" s="11">
        <f>G616*AP616</f>
        <v>0</v>
      </c>
      <c r="BJ616" s="11">
        <f>G616*H616</f>
        <v>0</v>
      </c>
      <c r="BK616" s="11" t="s">
        <v>981</v>
      </c>
      <c r="BL616" s="20">
        <v>95</v>
      </c>
    </row>
    <row r="617" spans="1:15" ht="12.75">
      <c r="A617" s="1"/>
      <c r="D617" s="8" t="s">
        <v>709</v>
      </c>
      <c r="E617" s="9"/>
      <c r="G617" s="12">
        <v>2</v>
      </c>
      <c r="N617" s="16"/>
      <c r="O617" s="1"/>
    </row>
    <row r="618" spans="1:64" ht="12.75">
      <c r="A618" s="60" t="s">
        <v>133</v>
      </c>
      <c r="B618" s="5"/>
      <c r="C618" s="5" t="s">
        <v>307</v>
      </c>
      <c r="D618" s="176" t="s">
        <v>710</v>
      </c>
      <c r="E618" s="177"/>
      <c r="F618" s="5" t="s">
        <v>888</v>
      </c>
      <c r="G618" s="11">
        <v>1</v>
      </c>
      <c r="H618" s="103"/>
      <c r="I618" s="11">
        <f>G618*AO618</f>
        <v>0</v>
      </c>
      <c r="J618" s="11">
        <f>G618*AP618</f>
        <v>0</v>
      </c>
      <c r="K618" s="11">
        <f>G618*H618</f>
        <v>0</v>
      </c>
      <c r="L618" s="11">
        <v>0</v>
      </c>
      <c r="M618" s="11">
        <f>G618*L618</f>
        <v>0</v>
      </c>
      <c r="N618" s="15" t="s">
        <v>913</v>
      </c>
      <c r="O618" s="1"/>
      <c r="Z618" s="20">
        <f>IF(AQ618="5",BJ618,0)</f>
        <v>0</v>
      </c>
      <c r="AB618" s="20">
        <f>IF(AQ618="1",BH618,0)</f>
        <v>0</v>
      </c>
      <c r="AC618" s="20">
        <f>IF(AQ618="1",BI618,0)</f>
        <v>0</v>
      </c>
      <c r="AD618" s="20">
        <f>IF(AQ618="7",BH618,0)</f>
        <v>0</v>
      </c>
      <c r="AE618" s="20">
        <f>IF(AQ618="7",BI618,0)</f>
        <v>0</v>
      </c>
      <c r="AF618" s="20">
        <f>IF(AQ618="2",BH618,0)</f>
        <v>0</v>
      </c>
      <c r="AG618" s="20">
        <f>IF(AQ618="2",BI618,0)</f>
        <v>0</v>
      </c>
      <c r="AH618" s="20">
        <f>IF(AQ618="0",BJ618,0)</f>
        <v>0</v>
      </c>
      <c r="AI618" s="14"/>
      <c r="AJ618" s="11">
        <f>IF(AN618=0,K618,0)</f>
        <v>0</v>
      </c>
      <c r="AK618" s="11">
        <f>IF(AN618=15,K618,0)</f>
        <v>0</v>
      </c>
      <c r="AL618" s="11">
        <f>IF(AN618=21,K618,0)</f>
        <v>0</v>
      </c>
      <c r="AN618" s="20">
        <v>21</v>
      </c>
      <c r="AO618" s="20">
        <f>H618*0.409090909090909</f>
        <v>0</v>
      </c>
      <c r="AP618" s="20">
        <f>H618*(1-0.409090909090909)</f>
        <v>0</v>
      </c>
      <c r="AQ618" s="21" t="s">
        <v>7</v>
      </c>
      <c r="AV618" s="20">
        <f>AW618+AX618</f>
        <v>0</v>
      </c>
      <c r="AW618" s="20">
        <f>G618*AO618</f>
        <v>0</v>
      </c>
      <c r="AX618" s="20">
        <f>G618*AP618</f>
        <v>0</v>
      </c>
      <c r="AY618" s="23" t="s">
        <v>950</v>
      </c>
      <c r="AZ618" s="23" t="s">
        <v>973</v>
      </c>
      <c r="BA618" s="14" t="s">
        <v>976</v>
      </c>
      <c r="BC618" s="20">
        <f>AW618+AX618</f>
        <v>0</v>
      </c>
      <c r="BD618" s="20">
        <f>H618/(100-BE618)*100</f>
        <v>0</v>
      </c>
      <c r="BE618" s="20">
        <v>0</v>
      </c>
      <c r="BF618" s="20">
        <f>M618</f>
        <v>0</v>
      </c>
      <c r="BH618" s="11">
        <f>G618*AO618</f>
        <v>0</v>
      </c>
      <c r="BI618" s="11">
        <f>G618*AP618</f>
        <v>0</v>
      </c>
      <c r="BJ618" s="11">
        <f>G618*H618</f>
        <v>0</v>
      </c>
      <c r="BK618" s="11" t="s">
        <v>981</v>
      </c>
      <c r="BL618" s="20">
        <v>95</v>
      </c>
    </row>
    <row r="619" spans="1:15" ht="12.75">
      <c r="A619" s="1"/>
      <c r="D619" s="8" t="s">
        <v>7</v>
      </c>
      <c r="E619" s="9"/>
      <c r="G619" s="12">
        <v>1</v>
      </c>
      <c r="N619" s="16"/>
      <c r="O619" s="1"/>
    </row>
    <row r="620" spans="1:64" ht="12.75">
      <c r="A620" s="60" t="s">
        <v>134</v>
      </c>
      <c r="B620" s="5"/>
      <c r="C620" s="5" t="s">
        <v>308</v>
      </c>
      <c r="D620" s="178" t="s">
        <v>1048</v>
      </c>
      <c r="E620" s="177"/>
      <c r="F620" s="5" t="s">
        <v>885</v>
      </c>
      <c r="G620" s="11">
        <v>1</v>
      </c>
      <c r="H620" s="103"/>
      <c r="I620" s="11">
        <f>G620*AO620</f>
        <v>0</v>
      </c>
      <c r="J620" s="11">
        <f>G620*AP620</f>
        <v>0</v>
      </c>
      <c r="K620" s="11">
        <f>G620*H620</f>
        <v>0</v>
      </c>
      <c r="L620" s="11">
        <v>0</v>
      </c>
      <c r="M620" s="11">
        <f>G620*L620</f>
        <v>0</v>
      </c>
      <c r="N620" s="15" t="s">
        <v>913</v>
      </c>
      <c r="O620" s="1"/>
      <c r="Z620" s="20">
        <f>IF(AQ620="5",BJ620,0)</f>
        <v>0</v>
      </c>
      <c r="AB620" s="20">
        <f>IF(AQ620="1",BH620,0)</f>
        <v>0</v>
      </c>
      <c r="AC620" s="20">
        <f>IF(AQ620="1",BI620,0)</f>
        <v>0</v>
      </c>
      <c r="AD620" s="20">
        <f>IF(AQ620="7",BH620,0)</f>
        <v>0</v>
      </c>
      <c r="AE620" s="20">
        <f>IF(AQ620="7",BI620,0)</f>
        <v>0</v>
      </c>
      <c r="AF620" s="20">
        <f>IF(AQ620="2",BH620,0)</f>
        <v>0</v>
      </c>
      <c r="AG620" s="20">
        <f>IF(AQ620="2",BI620,0)</f>
        <v>0</v>
      </c>
      <c r="AH620" s="20">
        <f>IF(AQ620="0",BJ620,0)</f>
        <v>0</v>
      </c>
      <c r="AI620" s="14"/>
      <c r="AJ620" s="11">
        <f>IF(AN620=0,K620,0)</f>
        <v>0</v>
      </c>
      <c r="AK620" s="11">
        <f>IF(AN620=15,K620,0)</f>
        <v>0</v>
      </c>
      <c r="AL620" s="11">
        <f>IF(AN620=21,K620,0)</f>
        <v>0</v>
      </c>
      <c r="AN620" s="20">
        <v>21</v>
      </c>
      <c r="AO620" s="20">
        <f>H620*0.25</f>
        <v>0</v>
      </c>
      <c r="AP620" s="20">
        <f>H620*(1-0.25)</f>
        <v>0</v>
      </c>
      <c r="AQ620" s="21" t="s">
        <v>7</v>
      </c>
      <c r="AV620" s="20">
        <f>AW620+AX620</f>
        <v>0</v>
      </c>
      <c r="AW620" s="20">
        <f>G620*AO620</f>
        <v>0</v>
      </c>
      <c r="AX620" s="20">
        <f>G620*AP620</f>
        <v>0</v>
      </c>
      <c r="AY620" s="23" t="s">
        <v>950</v>
      </c>
      <c r="AZ620" s="23" t="s">
        <v>973</v>
      </c>
      <c r="BA620" s="14" t="s">
        <v>976</v>
      </c>
      <c r="BC620" s="20">
        <f>AW620+AX620</f>
        <v>0</v>
      </c>
      <c r="BD620" s="20">
        <f>H620/(100-BE620)*100</f>
        <v>0</v>
      </c>
      <c r="BE620" s="20">
        <v>0</v>
      </c>
      <c r="BF620" s="20">
        <f>M620</f>
        <v>0</v>
      </c>
      <c r="BH620" s="11">
        <f>G620*AO620</f>
        <v>0</v>
      </c>
      <c r="BI620" s="11">
        <f>G620*AP620</f>
        <v>0</v>
      </c>
      <c r="BJ620" s="11">
        <f>G620*H620</f>
        <v>0</v>
      </c>
      <c r="BK620" s="11" t="s">
        <v>981</v>
      </c>
      <c r="BL620" s="20">
        <v>95</v>
      </c>
    </row>
    <row r="621" spans="1:47" ht="12.75">
      <c r="A621" s="2"/>
      <c r="B621" s="6"/>
      <c r="C621" s="6" t="s">
        <v>101</v>
      </c>
      <c r="D621" s="174" t="s">
        <v>711</v>
      </c>
      <c r="E621" s="175"/>
      <c r="F621" s="10" t="s">
        <v>6</v>
      </c>
      <c r="G621" s="10" t="s">
        <v>6</v>
      </c>
      <c r="H621" s="10"/>
      <c r="I621" s="25">
        <f>SUM(I622:I631)</f>
        <v>0</v>
      </c>
      <c r="J621" s="25">
        <f>SUM(J622:J631)</f>
        <v>0</v>
      </c>
      <c r="K621" s="25">
        <f>SUM(K622:K631)</f>
        <v>0</v>
      </c>
      <c r="L621" s="14"/>
      <c r="M621" s="25">
        <f>SUM(M622:M631)</f>
        <v>23.3026309</v>
      </c>
      <c r="N621" s="17"/>
      <c r="O621" s="1"/>
      <c r="AI621" s="14"/>
      <c r="AS621" s="25">
        <f>SUM(AJ622:AJ631)</f>
        <v>0</v>
      </c>
      <c r="AT621" s="25">
        <f>SUM(AK622:AK631)</f>
        <v>0</v>
      </c>
      <c r="AU621" s="25">
        <f>SUM(AL622:AL631)</f>
        <v>0</v>
      </c>
    </row>
    <row r="622" spans="1:64" ht="12.75">
      <c r="A622" s="60" t="s">
        <v>135</v>
      </c>
      <c r="B622" s="5"/>
      <c r="C622" s="5" t="s">
        <v>309</v>
      </c>
      <c r="D622" s="176" t="s">
        <v>712</v>
      </c>
      <c r="E622" s="177"/>
      <c r="F622" s="5" t="s">
        <v>882</v>
      </c>
      <c r="G622" s="11">
        <v>10.74638</v>
      </c>
      <c r="H622" s="103"/>
      <c r="I622" s="11">
        <f>G622*AO622</f>
        <v>0</v>
      </c>
      <c r="J622" s="11">
        <f>G622*AP622</f>
        <v>0</v>
      </c>
      <c r="K622" s="11">
        <f>G622*H622</f>
        <v>0</v>
      </c>
      <c r="L622" s="11">
        <v>2</v>
      </c>
      <c r="M622" s="11">
        <f>G622*L622</f>
        <v>21.49276</v>
      </c>
      <c r="N622" s="15" t="s">
        <v>912</v>
      </c>
      <c r="O622" s="1"/>
      <c r="Z622" s="20">
        <f>IF(AQ622="5",BJ622,0)</f>
        <v>0</v>
      </c>
      <c r="AB622" s="20">
        <f>IF(AQ622="1",BH622,0)</f>
        <v>0</v>
      </c>
      <c r="AC622" s="20">
        <f>IF(AQ622="1",BI622,0)</f>
        <v>0</v>
      </c>
      <c r="AD622" s="20">
        <f>IF(AQ622="7",BH622,0)</f>
        <v>0</v>
      </c>
      <c r="AE622" s="20">
        <f>IF(AQ622="7",BI622,0)</f>
        <v>0</v>
      </c>
      <c r="AF622" s="20">
        <f>IF(AQ622="2",BH622,0)</f>
        <v>0</v>
      </c>
      <c r="AG622" s="20">
        <f>IF(AQ622="2",BI622,0)</f>
        <v>0</v>
      </c>
      <c r="AH622" s="20">
        <f>IF(AQ622="0",BJ622,0)</f>
        <v>0</v>
      </c>
      <c r="AI622" s="14"/>
      <c r="AJ622" s="11">
        <f>IF(AN622=0,K622,0)</f>
        <v>0</v>
      </c>
      <c r="AK622" s="11">
        <f>IF(AN622=15,K622,0)</f>
        <v>0</v>
      </c>
      <c r="AL622" s="11">
        <f>IF(AN622=21,K622,0)</f>
        <v>0</v>
      </c>
      <c r="AN622" s="20">
        <v>21</v>
      </c>
      <c r="AO622" s="20">
        <f>H622*0</f>
        <v>0</v>
      </c>
      <c r="AP622" s="20">
        <f>H622*(1-0)</f>
        <v>0</v>
      </c>
      <c r="AQ622" s="21" t="s">
        <v>7</v>
      </c>
      <c r="AV622" s="20">
        <f>AW622+AX622</f>
        <v>0</v>
      </c>
      <c r="AW622" s="20">
        <f>G622*AO622</f>
        <v>0</v>
      </c>
      <c r="AX622" s="20">
        <f>G622*AP622</f>
        <v>0</v>
      </c>
      <c r="AY622" s="23" t="s">
        <v>951</v>
      </c>
      <c r="AZ622" s="23" t="s">
        <v>973</v>
      </c>
      <c r="BA622" s="14" t="s">
        <v>976</v>
      </c>
      <c r="BC622" s="20">
        <f>AW622+AX622</f>
        <v>0</v>
      </c>
      <c r="BD622" s="20">
        <f>H622/(100-BE622)*100</f>
        <v>0</v>
      </c>
      <c r="BE622" s="20">
        <v>0</v>
      </c>
      <c r="BF622" s="20">
        <f>M622</f>
        <v>21.49276</v>
      </c>
      <c r="BH622" s="11">
        <f>G622*AO622</f>
        <v>0</v>
      </c>
      <c r="BI622" s="11">
        <f>G622*AP622</f>
        <v>0</v>
      </c>
      <c r="BJ622" s="11">
        <f>G622*H622</f>
        <v>0</v>
      </c>
      <c r="BK622" s="11" t="s">
        <v>981</v>
      </c>
      <c r="BL622" s="20">
        <v>96</v>
      </c>
    </row>
    <row r="623" spans="1:15" ht="12.75">
      <c r="A623" s="1"/>
      <c r="D623" s="8" t="s">
        <v>713</v>
      </c>
      <c r="E623" s="9" t="s">
        <v>762</v>
      </c>
      <c r="G623" s="12">
        <v>2.73</v>
      </c>
      <c r="N623" s="16"/>
      <c r="O623" s="1"/>
    </row>
    <row r="624" spans="1:15" ht="12.75">
      <c r="A624" s="1"/>
      <c r="D624" s="8" t="s">
        <v>714</v>
      </c>
      <c r="E624" s="9" t="s">
        <v>874</v>
      </c>
      <c r="G624" s="12">
        <v>8.01638</v>
      </c>
      <c r="N624" s="16"/>
      <c r="O624" s="1"/>
    </row>
    <row r="625" spans="1:64" ht="12.75">
      <c r="A625" s="60" t="s">
        <v>136</v>
      </c>
      <c r="B625" s="5"/>
      <c r="C625" s="5" t="s">
        <v>310</v>
      </c>
      <c r="D625" s="176" t="s">
        <v>715</v>
      </c>
      <c r="E625" s="177"/>
      <c r="F625" s="5" t="s">
        <v>881</v>
      </c>
      <c r="G625" s="11">
        <v>5.0907</v>
      </c>
      <c r="H625" s="103"/>
      <c r="I625" s="11">
        <f>G625*AO625</f>
        <v>0</v>
      </c>
      <c r="J625" s="11">
        <f>G625*AP625</f>
        <v>0</v>
      </c>
      <c r="K625" s="11">
        <f>G625*H625</f>
        <v>0</v>
      </c>
      <c r="L625" s="11">
        <v>0.087</v>
      </c>
      <c r="M625" s="11">
        <f>G625*L625</f>
        <v>0.4428909</v>
      </c>
      <c r="N625" s="15" t="s">
        <v>912</v>
      </c>
      <c r="O625" s="1"/>
      <c r="Z625" s="20">
        <f>IF(AQ625="5",BJ625,0)</f>
        <v>0</v>
      </c>
      <c r="AB625" s="20">
        <f>IF(AQ625="1",BH625,0)</f>
        <v>0</v>
      </c>
      <c r="AC625" s="20">
        <f>IF(AQ625="1",BI625,0)</f>
        <v>0</v>
      </c>
      <c r="AD625" s="20">
        <f>IF(AQ625="7",BH625,0)</f>
        <v>0</v>
      </c>
      <c r="AE625" s="20">
        <f>IF(AQ625="7",BI625,0)</f>
        <v>0</v>
      </c>
      <c r="AF625" s="20">
        <f>IF(AQ625="2",BH625,0)</f>
        <v>0</v>
      </c>
      <c r="AG625" s="20">
        <f>IF(AQ625="2",BI625,0)</f>
        <v>0</v>
      </c>
      <c r="AH625" s="20">
        <f>IF(AQ625="0",BJ625,0)</f>
        <v>0</v>
      </c>
      <c r="AI625" s="14"/>
      <c r="AJ625" s="11">
        <f>IF(AN625=0,K625,0)</f>
        <v>0</v>
      </c>
      <c r="AK625" s="11">
        <f>IF(AN625=15,K625,0)</f>
        <v>0</v>
      </c>
      <c r="AL625" s="11">
        <f>IF(AN625=21,K625,0)</f>
        <v>0</v>
      </c>
      <c r="AN625" s="20">
        <v>21</v>
      </c>
      <c r="AO625" s="20">
        <f>H625*0</f>
        <v>0</v>
      </c>
      <c r="AP625" s="20">
        <f>H625*(1-0)</f>
        <v>0</v>
      </c>
      <c r="AQ625" s="21" t="s">
        <v>7</v>
      </c>
      <c r="AV625" s="20">
        <f>AW625+AX625</f>
        <v>0</v>
      </c>
      <c r="AW625" s="20">
        <f>G625*AO625</f>
        <v>0</v>
      </c>
      <c r="AX625" s="20">
        <f>G625*AP625</f>
        <v>0</v>
      </c>
      <c r="AY625" s="23" t="s">
        <v>951</v>
      </c>
      <c r="AZ625" s="23" t="s">
        <v>973</v>
      </c>
      <c r="BA625" s="14" t="s">
        <v>976</v>
      </c>
      <c r="BC625" s="20">
        <f>AW625+AX625</f>
        <v>0</v>
      </c>
      <c r="BD625" s="20">
        <f>H625/(100-BE625)*100</f>
        <v>0</v>
      </c>
      <c r="BE625" s="20">
        <v>0</v>
      </c>
      <c r="BF625" s="20">
        <f>M625</f>
        <v>0.4428909</v>
      </c>
      <c r="BH625" s="11">
        <f>G625*AO625</f>
        <v>0</v>
      </c>
      <c r="BI625" s="11">
        <f>G625*AP625</f>
        <v>0</v>
      </c>
      <c r="BJ625" s="11">
        <f>G625*H625</f>
        <v>0</v>
      </c>
      <c r="BK625" s="11" t="s">
        <v>981</v>
      </c>
      <c r="BL625" s="20">
        <v>96</v>
      </c>
    </row>
    <row r="626" spans="1:15" ht="12.75">
      <c r="A626" s="1"/>
      <c r="D626" s="8" t="s">
        <v>716</v>
      </c>
      <c r="E626" s="9"/>
      <c r="G626" s="12">
        <v>5.0907</v>
      </c>
      <c r="N626" s="16"/>
      <c r="O626" s="1"/>
    </row>
    <row r="627" spans="1:64" ht="12.75">
      <c r="A627" s="60" t="s">
        <v>137</v>
      </c>
      <c r="B627" s="5"/>
      <c r="C627" s="5" t="s">
        <v>311</v>
      </c>
      <c r="D627" s="176" t="s">
        <v>717</v>
      </c>
      <c r="E627" s="177"/>
      <c r="F627" s="5" t="s">
        <v>883</v>
      </c>
      <c r="G627" s="11">
        <v>11.64</v>
      </c>
      <c r="H627" s="103"/>
      <c r="I627" s="11">
        <f>G627*AO627</f>
        <v>0</v>
      </c>
      <c r="J627" s="11">
        <f>G627*AP627</f>
        <v>0</v>
      </c>
      <c r="K627" s="11">
        <f>G627*H627</f>
        <v>0</v>
      </c>
      <c r="L627" s="11">
        <v>0.07</v>
      </c>
      <c r="M627" s="11">
        <f>G627*L627</f>
        <v>0.8148000000000001</v>
      </c>
      <c r="N627" s="15" t="s">
        <v>912</v>
      </c>
      <c r="O627" s="1"/>
      <c r="Z627" s="20">
        <f>IF(AQ627="5",BJ627,0)</f>
        <v>0</v>
      </c>
      <c r="AB627" s="20">
        <f>IF(AQ627="1",BH627,0)</f>
        <v>0</v>
      </c>
      <c r="AC627" s="20">
        <f>IF(AQ627="1",BI627,0)</f>
        <v>0</v>
      </c>
      <c r="AD627" s="20">
        <f>IF(AQ627="7",BH627,0)</f>
        <v>0</v>
      </c>
      <c r="AE627" s="20">
        <f>IF(AQ627="7",BI627,0)</f>
        <v>0</v>
      </c>
      <c r="AF627" s="20">
        <f>IF(AQ627="2",BH627,0)</f>
        <v>0</v>
      </c>
      <c r="AG627" s="20">
        <f>IF(AQ627="2",BI627,0)</f>
        <v>0</v>
      </c>
      <c r="AH627" s="20">
        <f>IF(AQ627="0",BJ627,0)</f>
        <v>0</v>
      </c>
      <c r="AI627" s="14"/>
      <c r="AJ627" s="11">
        <f>IF(AN627=0,K627,0)</f>
        <v>0</v>
      </c>
      <c r="AK627" s="11">
        <f>IF(AN627=15,K627,0)</f>
        <v>0</v>
      </c>
      <c r="AL627" s="11">
        <f>IF(AN627=21,K627,0)</f>
        <v>0</v>
      </c>
      <c r="AN627" s="20">
        <v>21</v>
      </c>
      <c r="AO627" s="20">
        <f>H627*0</f>
        <v>0</v>
      </c>
      <c r="AP627" s="20">
        <f>H627*(1-0)</f>
        <v>0</v>
      </c>
      <c r="AQ627" s="21" t="s">
        <v>7</v>
      </c>
      <c r="AV627" s="20">
        <f>AW627+AX627</f>
        <v>0</v>
      </c>
      <c r="AW627" s="20">
        <f>G627*AO627</f>
        <v>0</v>
      </c>
      <c r="AX627" s="20">
        <f>G627*AP627</f>
        <v>0</v>
      </c>
      <c r="AY627" s="23" t="s">
        <v>951</v>
      </c>
      <c r="AZ627" s="23" t="s">
        <v>973</v>
      </c>
      <c r="BA627" s="14" t="s">
        <v>976</v>
      </c>
      <c r="BC627" s="20">
        <f>AW627+AX627</f>
        <v>0</v>
      </c>
      <c r="BD627" s="20">
        <f>H627/(100-BE627)*100</f>
        <v>0</v>
      </c>
      <c r="BE627" s="20">
        <v>0</v>
      </c>
      <c r="BF627" s="20">
        <f>M627</f>
        <v>0.8148000000000001</v>
      </c>
      <c r="BH627" s="11">
        <f>G627*AO627</f>
        <v>0</v>
      </c>
      <c r="BI627" s="11">
        <f>G627*AP627</f>
        <v>0</v>
      </c>
      <c r="BJ627" s="11">
        <f>G627*H627</f>
        <v>0</v>
      </c>
      <c r="BK627" s="11" t="s">
        <v>981</v>
      </c>
      <c r="BL627" s="20">
        <v>96</v>
      </c>
    </row>
    <row r="628" spans="1:15" ht="12.75">
      <c r="A628" s="1"/>
      <c r="D628" s="8" t="s">
        <v>718</v>
      </c>
      <c r="E628" s="9"/>
      <c r="G628" s="12">
        <v>11.64</v>
      </c>
      <c r="N628" s="16"/>
      <c r="O628" s="1"/>
    </row>
    <row r="629" spans="1:64" ht="12.75">
      <c r="A629" s="60" t="s">
        <v>138</v>
      </c>
      <c r="B629" s="5"/>
      <c r="C629" s="5" t="s">
        <v>312</v>
      </c>
      <c r="D629" s="176" t="s">
        <v>719</v>
      </c>
      <c r="E629" s="177"/>
      <c r="F629" s="5" t="s">
        <v>886</v>
      </c>
      <c r="G629" s="11">
        <v>3</v>
      </c>
      <c r="H629" s="103"/>
      <c r="I629" s="11">
        <f>G629*AO629</f>
        <v>0</v>
      </c>
      <c r="J629" s="11">
        <f>G629*AP629</f>
        <v>0</v>
      </c>
      <c r="K629" s="11">
        <f>G629*H629</f>
        <v>0</v>
      </c>
      <c r="L629" s="11">
        <v>0.18406</v>
      </c>
      <c r="M629" s="11">
        <f>G629*L629</f>
        <v>0.55218</v>
      </c>
      <c r="N629" s="15" t="s">
        <v>912</v>
      </c>
      <c r="O629" s="1"/>
      <c r="Z629" s="20">
        <f>IF(AQ629="5",BJ629,0)</f>
        <v>0</v>
      </c>
      <c r="AB629" s="20">
        <f>IF(AQ629="1",BH629,0)</f>
        <v>0</v>
      </c>
      <c r="AC629" s="20">
        <f>IF(AQ629="1",BI629,0)</f>
        <v>0</v>
      </c>
      <c r="AD629" s="20">
        <f>IF(AQ629="7",BH629,0)</f>
        <v>0</v>
      </c>
      <c r="AE629" s="20">
        <f>IF(AQ629="7",BI629,0)</f>
        <v>0</v>
      </c>
      <c r="AF629" s="20">
        <f>IF(AQ629="2",BH629,0)</f>
        <v>0</v>
      </c>
      <c r="AG629" s="20">
        <f>IF(AQ629="2",BI629,0)</f>
        <v>0</v>
      </c>
      <c r="AH629" s="20">
        <f>IF(AQ629="0",BJ629,0)</f>
        <v>0</v>
      </c>
      <c r="AI629" s="14"/>
      <c r="AJ629" s="11">
        <f>IF(AN629=0,K629,0)</f>
        <v>0</v>
      </c>
      <c r="AK629" s="11">
        <f>IF(AN629=15,K629,0)</f>
        <v>0</v>
      </c>
      <c r="AL629" s="11">
        <f>IF(AN629=21,K629,0)</f>
        <v>0</v>
      </c>
      <c r="AN629" s="20">
        <v>21</v>
      </c>
      <c r="AO629" s="20">
        <f>H629*0.0463560732113145</f>
        <v>0</v>
      </c>
      <c r="AP629" s="20">
        <f>H629*(1-0.0463560732113145)</f>
        <v>0</v>
      </c>
      <c r="AQ629" s="21" t="s">
        <v>7</v>
      </c>
      <c r="AV629" s="20">
        <f>AW629+AX629</f>
        <v>0</v>
      </c>
      <c r="AW629" s="20">
        <f>G629*AO629</f>
        <v>0</v>
      </c>
      <c r="AX629" s="20">
        <f>G629*AP629</f>
        <v>0</v>
      </c>
      <c r="AY629" s="23" t="s">
        <v>951</v>
      </c>
      <c r="AZ629" s="23" t="s">
        <v>973</v>
      </c>
      <c r="BA629" s="14" t="s">
        <v>976</v>
      </c>
      <c r="BC629" s="20">
        <f>AW629+AX629</f>
        <v>0</v>
      </c>
      <c r="BD629" s="20">
        <f>H629/(100-BE629)*100</f>
        <v>0</v>
      </c>
      <c r="BE629" s="20">
        <v>0</v>
      </c>
      <c r="BF629" s="20">
        <f>M629</f>
        <v>0.55218</v>
      </c>
      <c r="BH629" s="11">
        <f>G629*AO629</f>
        <v>0</v>
      </c>
      <c r="BI629" s="11">
        <f>G629*AP629</f>
        <v>0</v>
      </c>
      <c r="BJ629" s="11">
        <f>G629*H629</f>
        <v>0</v>
      </c>
      <c r="BK629" s="11" t="s">
        <v>981</v>
      </c>
      <c r="BL629" s="20">
        <v>96</v>
      </c>
    </row>
    <row r="630" spans="1:15" ht="12.75">
      <c r="A630" s="1"/>
      <c r="D630" s="8" t="s">
        <v>7</v>
      </c>
      <c r="E630" s="9" t="s">
        <v>875</v>
      </c>
      <c r="G630" s="12">
        <v>1</v>
      </c>
      <c r="N630" s="16"/>
      <c r="O630" s="1"/>
    </row>
    <row r="631" spans="1:15" ht="12.75">
      <c r="A631" s="1"/>
      <c r="D631" s="8" t="s">
        <v>709</v>
      </c>
      <c r="E631" s="9" t="s">
        <v>876</v>
      </c>
      <c r="G631" s="12">
        <v>2</v>
      </c>
      <c r="N631" s="16"/>
      <c r="O631" s="1"/>
    </row>
    <row r="632" spans="1:47" ht="12.75">
      <c r="A632" s="2"/>
      <c r="B632" s="6"/>
      <c r="C632" s="6" t="s">
        <v>102</v>
      </c>
      <c r="D632" s="174" t="s">
        <v>720</v>
      </c>
      <c r="E632" s="175"/>
      <c r="F632" s="10" t="s">
        <v>6</v>
      </c>
      <c r="G632" s="10" t="s">
        <v>6</v>
      </c>
      <c r="H632" s="10"/>
      <c r="I632" s="25">
        <f>SUM(I633:I675)</f>
        <v>0</v>
      </c>
      <c r="J632" s="25">
        <f>SUM(J633:J675)</f>
        <v>0</v>
      </c>
      <c r="K632" s="25">
        <f>SUM(K633:K675)</f>
        <v>0</v>
      </c>
      <c r="L632" s="14"/>
      <c r="M632" s="25">
        <f>SUM(M633:M675)</f>
        <v>16.7775522</v>
      </c>
      <c r="N632" s="17"/>
      <c r="O632" s="1"/>
      <c r="AI632" s="14"/>
      <c r="AS632" s="25">
        <f>SUM(AJ633:AJ675)</f>
        <v>0</v>
      </c>
      <c r="AT632" s="25">
        <f>SUM(AK633:AK675)</f>
        <v>0</v>
      </c>
      <c r="AU632" s="25">
        <f>SUM(AL633:AL675)</f>
        <v>0</v>
      </c>
    </row>
    <row r="633" spans="1:64" ht="12.75">
      <c r="A633" s="60" t="s">
        <v>139</v>
      </c>
      <c r="B633" s="5"/>
      <c r="C633" s="5" t="s">
        <v>313</v>
      </c>
      <c r="D633" s="176" t="s">
        <v>721</v>
      </c>
      <c r="E633" s="177"/>
      <c r="F633" s="5" t="s">
        <v>881</v>
      </c>
      <c r="G633" s="11">
        <v>668.19</v>
      </c>
      <c r="H633" s="103"/>
      <c r="I633" s="11">
        <f>G633*AO633</f>
        <v>0</v>
      </c>
      <c r="J633" s="11">
        <f>G633*AP633</f>
        <v>0</v>
      </c>
      <c r="K633" s="11">
        <f>G633*H633</f>
        <v>0</v>
      </c>
      <c r="L633" s="11">
        <v>0.005</v>
      </c>
      <c r="M633" s="11">
        <f>G633*L633</f>
        <v>3.3409500000000003</v>
      </c>
      <c r="N633" s="15" t="s">
        <v>912</v>
      </c>
      <c r="O633" s="1"/>
      <c r="Z633" s="20">
        <f>IF(AQ633="5",BJ633,0)</f>
        <v>0</v>
      </c>
      <c r="AB633" s="20">
        <f>IF(AQ633="1",BH633,0)</f>
        <v>0</v>
      </c>
      <c r="AC633" s="20">
        <f>IF(AQ633="1",BI633,0)</f>
        <v>0</v>
      </c>
      <c r="AD633" s="20">
        <f>IF(AQ633="7",BH633,0)</f>
        <v>0</v>
      </c>
      <c r="AE633" s="20">
        <f>IF(AQ633="7",BI633,0)</f>
        <v>0</v>
      </c>
      <c r="AF633" s="20">
        <f>IF(AQ633="2",BH633,0)</f>
        <v>0</v>
      </c>
      <c r="AG633" s="20">
        <f>IF(AQ633="2",BI633,0)</f>
        <v>0</v>
      </c>
      <c r="AH633" s="20">
        <f>IF(AQ633="0",BJ633,0)</f>
        <v>0</v>
      </c>
      <c r="AI633" s="14"/>
      <c r="AJ633" s="11">
        <f>IF(AN633=0,K633,0)</f>
        <v>0</v>
      </c>
      <c r="AK633" s="11">
        <f>IF(AN633=15,K633,0)</f>
        <v>0</v>
      </c>
      <c r="AL633" s="11">
        <f>IF(AN633=21,K633,0)</f>
        <v>0</v>
      </c>
      <c r="AN633" s="20">
        <v>21</v>
      </c>
      <c r="AO633" s="20">
        <f>H633*0</f>
        <v>0</v>
      </c>
      <c r="AP633" s="20">
        <f>H633*(1-0)</f>
        <v>0</v>
      </c>
      <c r="AQ633" s="21" t="s">
        <v>7</v>
      </c>
      <c r="AV633" s="20">
        <f>AW633+AX633</f>
        <v>0</v>
      </c>
      <c r="AW633" s="20">
        <f>G633*AO633</f>
        <v>0</v>
      </c>
      <c r="AX633" s="20">
        <f>G633*AP633</f>
        <v>0</v>
      </c>
      <c r="AY633" s="23" t="s">
        <v>952</v>
      </c>
      <c r="AZ633" s="23" t="s">
        <v>973</v>
      </c>
      <c r="BA633" s="14" t="s">
        <v>976</v>
      </c>
      <c r="BC633" s="20">
        <f>AW633+AX633</f>
        <v>0</v>
      </c>
      <c r="BD633" s="20">
        <f>H633/(100-BE633)*100</f>
        <v>0</v>
      </c>
      <c r="BE633" s="20">
        <v>0</v>
      </c>
      <c r="BF633" s="20">
        <f>M633</f>
        <v>3.3409500000000003</v>
      </c>
      <c r="BH633" s="11">
        <f>G633*AO633</f>
        <v>0</v>
      </c>
      <c r="BI633" s="11">
        <f>G633*AP633</f>
        <v>0</v>
      </c>
      <c r="BJ633" s="11">
        <f>G633*H633</f>
        <v>0</v>
      </c>
      <c r="BK633" s="11" t="s">
        <v>981</v>
      </c>
      <c r="BL633" s="20">
        <v>97</v>
      </c>
    </row>
    <row r="634" spans="1:15" ht="12.75">
      <c r="A634" s="1"/>
      <c r="D634" s="8" t="s">
        <v>425</v>
      </c>
      <c r="E634" s="9" t="s">
        <v>795</v>
      </c>
      <c r="G634" s="12">
        <v>298.2355</v>
      </c>
      <c r="N634" s="16"/>
      <c r="O634" s="1"/>
    </row>
    <row r="635" spans="1:15" ht="12.75">
      <c r="A635" s="1"/>
      <c r="D635" s="8" t="s">
        <v>438</v>
      </c>
      <c r="E635" s="9" t="s">
        <v>805</v>
      </c>
      <c r="G635" s="12">
        <v>8.4222</v>
      </c>
      <c r="N635" s="16"/>
      <c r="O635" s="1"/>
    </row>
    <row r="636" spans="1:15" ht="12.75">
      <c r="A636" s="1"/>
      <c r="D636" s="8" t="s">
        <v>439</v>
      </c>
      <c r="E636" s="9" t="s">
        <v>806</v>
      </c>
      <c r="G636" s="12">
        <v>5.1822</v>
      </c>
      <c r="N636" s="16"/>
      <c r="O636" s="1"/>
    </row>
    <row r="637" spans="1:15" ht="12.75">
      <c r="A637" s="1"/>
      <c r="D637" s="8" t="s">
        <v>440</v>
      </c>
      <c r="E637" s="9" t="s">
        <v>807</v>
      </c>
      <c r="G637" s="12">
        <v>6.6132</v>
      </c>
      <c r="N637" s="16"/>
      <c r="O637" s="1"/>
    </row>
    <row r="638" spans="1:15" ht="12.75">
      <c r="A638" s="1"/>
      <c r="D638" s="8" t="s">
        <v>426</v>
      </c>
      <c r="E638" s="9" t="s">
        <v>796</v>
      </c>
      <c r="G638" s="12">
        <v>35.245</v>
      </c>
      <c r="N638" s="16"/>
      <c r="O638" s="1"/>
    </row>
    <row r="639" spans="1:15" ht="12.75">
      <c r="A639" s="1"/>
      <c r="D639" s="8" t="s">
        <v>427</v>
      </c>
      <c r="E639" s="9" t="s">
        <v>797</v>
      </c>
      <c r="G639" s="12">
        <v>311.8382</v>
      </c>
      <c r="N639" s="16"/>
      <c r="O639" s="1"/>
    </row>
    <row r="640" spans="1:15" ht="12.75">
      <c r="A640" s="1"/>
      <c r="D640" s="8" t="s">
        <v>428</v>
      </c>
      <c r="E640" s="9" t="s">
        <v>798</v>
      </c>
      <c r="G640" s="12">
        <v>36.281</v>
      </c>
      <c r="N640" s="16"/>
      <c r="O640" s="1"/>
    </row>
    <row r="641" spans="1:15" ht="12.75">
      <c r="A641" s="1"/>
      <c r="D641" s="8" t="s">
        <v>429</v>
      </c>
      <c r="E641" s="9" t="s">
        <v>799</v>
      </c>
      <c r="G641" s="12">
        <v>16.667</v>
      </c>
      <c r="N641" s="16"/>
      <c r="O641" s="1"/>
    </row>
    <row r="642" spans="1:15" ht="12.75">
      <c r="A642" s="1"/>
      <c r="D642" s="8" t="s">
        <v>442</v>
      </c>
      <c r="E642" s="9" t="s">
        <v>809</v>
      </c>
      <c r="G642" s="12">
        <v>14.1444</v>
      </c>
      <c r="N642" s="16"/>
      <c r="O642" s="1"/>
    </row>
    <row r="643" spans="1:15" ht="12.75">
      <c r="A643" s="1"/>
      <c r="D643" s="8" t="s">
        <v>441</v>
      </c>
      <c r="E643" s="9" t="s">
        <v>808</v>
      </c>
      <c r="G643" s="12">
        <v>7.7076</v>
      </c>
      <c r="N643" s="16"/>
      <c r="O643" s="1"/>
    </row>
    <row r="644" spans="1:15" ht="12.75">
      <c r="A644" s="1"/>
      <c r="D644" s="8" t="s">
        <v>430</v>
      </c>
      <c r="E644" s="9" t="s">
        <v>800</v>
      </c>
      <c r="G644" s="12">
        <v>146.84</v>
      </c>
      <c r="N644" s="16"/>
      <c r="O644" s="1"/>
    </row>
    <row r="645" spans="1:15" ht="12.75">
      <c r="A645" s="1"/>
      <c r="D645" s="8" t="s">
        <v>443</v>
      </c>
      <c r="E645" s="9" t="s">
        <v>810</v>
      </c>
      <c r="G645" s="12">
        <v>5.67295</v>
      </c>
      <c r="N645" s="16"/>
      <c r="O645" s="1"/>
    </row>
    <row r="646" spans="1:15" ht="12.75">
      <c r="A646" s="1"/>
      <c r="D646" s="8" t="s">
        <v>444</v>
      </c>
      <c r="E646" s="9" t="s">
        <v>811</v>
      </c>
      <c r="G646" s="12">
        <v>10.14415</v>
      </c>
      <c r="N646" s="16"/>
      <c r="O646" s="1"/>
    </row>
    <row r="647" spans="1:15" ht="12.75">
      <c r="A647" s="1"/>
      <c r="D647" s="8" t="s">
        <v>445</v>
      </c>
      <c r="E647" s="9" t="s">
        <v>812</v>
      </c>
      <c r="G647" s="12">
        <v>2.133</v>
      </c>
      <c r="N647" s="16"/>
      <c r="O647" s="1"/>
    </row>
    <row r="648" spans="1:15" ht="12.75">
      <c r="A648" s="1"/>
      <c r="D648" s="8" t="s">
        <v>431</v>
      </c>
      <c r="E648" s="9" t="s">
        <v>801</v>
      </c>
      <c r="G648" s="12">
        <v>-81.217</v>
      </c>
      <c r="N648" s="16"/>
      <c r="O648" s="1"/>
    </row>
    <row r="649" spans="1:15" ht="12.75">
      <c r="A649" s="1"/>
      <c r="D649" s="8" t="s">
        <v>432</v>
      </c>
      <c r="E649" s="9" t="s">
        <v>802</v>
      </c>
      <c r="G649" s="12">
        <v>-77.665</v>
      </c>
      <c r="N649" s="16"/>
      <c r="O649" s="1"/>
    </row>
    <row r="650" spans="1:15" ht="12.75">
      <c r="A650" s="1"/>
      <c r="D650" s="8" t="s">
        <v>433</v>
      </c>
      <c r="E650" s="9" t="s">
        <v>803</v>
      </c>
      <c r="G650" s="12">
        <v>-27.35663</v>
      </c>
      <c r="N650" s="16"/>
      <c r="O650" s="1"/>
    </row>
    <row r="651" spans="1:15" ht="12.75">
      <c r="A651" s="1"/>
      <c r="D651" s="8" t="s">
        <v>422</v>
      </c>
      <c r="E651" s="9" t="s">
        <v>794</v>
      </c>
      <c r="G651" s="12">
        <v>-50.7</v>
      </c>
      <c r="N651" s="16"/>
      <c r="O651" s="1"/>
    </row>
    <row r="652" spans="1:64" ht="12.75">
      <c r="A652" s="60" t="s">
        <v>140</v>
      </c>
      <c r="B652" s="5"/>
      <c r="C652" s="5" t="s">
        <v>314</v>
      </c>
      <c r="D652" s="176" t="s">
        <v>722</v>
      </c>
      <c r="E652" s="177"/>
      <c r="F652" s="5" t="s">
        <v>881</v>
      </c>
      <c r="G652" s="11">
        <v>509.36</v>
      </c>
      <c r="H652" s="103"/>
      <c r="I652" s="11">
        <f>G652*AO652</f>
        <v>0</v>
      </c>
      <c r="J652" s="11">
        <f>G652*AP652</f>
        <v>0</v>
      </c>
      <c r="K652" s="11">
        <f>G652*H652</f>
        <v>0</v>
      </c>
      <c r="L652" s="11">
        <v>0.00516</v>
      </c>
      <c r="M652" s="11">
        <f>G652*L652</f>
        <v>2.6282976</v>
      </c>
      <c r="N652" s="15" t="s">
        <v>912</v>
      </c>
      <c r="O652" s="1"/>
      <c r="Z652" s="20">
        <f>IF(AQ652="5",BJ652,0)</f>
        <v>0</v>
      </c>
      <c r="AB652" s="20">
        <f>IF(AQ652="1",BH652,0)</f>
        <v>0</v>
      </c>
      <c r="AC652" s="20">
        <f>IF(AQ652="1",BI652,0)</f>
        <v>0</v>
      </c>
      <c r="AD652" s="20">
        <f>IF(AQ652="7",BH652,0)</f>
        <v>0</v>
      </c>
      <c r="AE652" s="20">
        <f>IF(AQ652="7",BI652,0)</f>
        <v>0</v>
      </c>
      <c r="AF652" s="20">
        <f>IF(AQ652="2",BH652,0)</f>
        <v>0</v>
      </c>
      <c r="AG652" s="20">
        <f>IF(AQ652="2",BI652,0)</f>
        <v>0</v>
      </c>
      <c r="AH652" s="20">
        <f>IF(AQ652="0",BJ652,0)</f>
        <v>0</v>
      </c>
      <c r="AI652" s="14"/>
      <c r="AJ652" s="11">
        <f>IF(AN652=0,K652,0)</f>
        <v>0</v>
      </c>
      <c r="AK652" s="11">
        <f>IF(AN652=15,K652,0)</f>
        <v>0</v>
      </c>
      <c r="AL652" s="11">
        <f>IF(AN652=21,K652,0)</f>
        <v>0</v>
      </c>
      <c r="AN652" s="20">
        <v>21</v>
      </c>
      <c r="AO652" s="20">
        <f>H652*0</f>
        <v>0</v>
      </c>
      <c r="AP652" s="20">
        <f>H652*(1-0)</f>
        <v>0</v>
      </c>
      <c r="AQ652" s="21" t="s">
        <v>7</v>
      </c>
      <c r="AV652" s="20">
        <f>AW652+AX652</f>
        <v>0</v>
      </c>
      <c r="AW652" s="20">
        <f>G652*AO652</f>
        <v>0</v>
      </c>
      <c r="AX652" s="20">
        <f>G652*AP652</f>
        <v>0</v>
      </c>
      <c r="AY652" s="23" t="s">
        <v>952</v>
      </c>
      <c r="AZ652" s="23" t="s">
        <v>973</v>
      </c>
      <c r="BA652" s="14" t="s">
        <v>976</v>
      </c>
      <c r="BC652" s="20">
        <f>AW652+AX652</f>
        <v>0</v>
      </c>
      <c r="BD652" s="20">
        <f>H652/(100-BE652)*100</f>
        <v>0</v>
      </c>
      <c r="BE652" s="20">
        <v>0</v>
      </c>
      <c r="BF652" s="20">
        <f>M652</f>
        <v>2.6282976</v>
      </c>
      <c r="BH652" s="11">
        <f>G652*AO652</f>
        <v>0</v>
      </c>
      <c r="BI652" s="11">
        <f>G652*AP652</f>
        <v>0</v>
      </c>
      <c r="BJ652" s="11">
        <f>G652*H652</f>
        <v>0</v>
      </c>
      <c r="BK652" s="11" t="s">
        <v>981</v>
      </c>
      <c r="BL652" s="20">
        <v>97</v>
      </c>
    </row>
    <row r="653" spans="1:15" ht="12.75">
      <c r="A653" s="1"/>
      <c r="D653" s="8" t="s">
        <v>425</v>
      </c>
      <c r="E653" s="9" t="s">
        <v>795</v>
      </c>
      <c r="G653" s="12">
        <v>298.2355</v>
      </c>
      <c r="N653" s="16"/>
      <c r="O653" s="1"/>
    </row>
    <row r="654" spans="1:15" ht="12.75">
      <c r="A654" s="1"/>
      <c r="D654" s="8" t="s">
        <v>438</v>
      </c>
      <c r="E654" s="9" t="s">
        <v>805</v>
      </c>
      <c r="G654" s="12">
        <v>8.4222</v>
      </c>
      <c r="N654" s="16"/>
      <c r="O654" s="1"/>
    </row>
    <row r="655" spans="1:15" ht="12.75">
      <c r="A655" s="1"/>
      <c r="D655" s="8" t="s">
        <v>439</v>
      </c>
      <c r="E655" s="9" t="s">
        <v>806</v>
      </c>
      <c r="G655" s="12">
        <v>5.1822</v>
      </c>
      <c r="N655" s="16"/>
      <c r="O655" s="1"/>
    </row>
    <row r="656" spans="1:15" ht="12.75">
      <c r="A656" s="1"/>
      <c r="D656" s="8" t="s">
        <v>440</v>
      </c>
      <c r="E656" s="9" t="s">
        <v>807</v>
      </c>
      <c r="G656" s="12">
        <v>6.6132</v>
      </c>
      <c r="N656" s="16"/>
      <c r="O656" s="1"/>
    </row>
    <row r="657" spans="1:15" ht="12.75">
      <c r="A657" s="1"/>
      <c r="D657" s="8" t="s">
        <v>427</v>
      </c>
      <c r="E657" s="9" t="s">
        <v>797</v>
      </c>
      <c r="G657" s="12">
        <v>311.8382</v>
      </c>
      <c r="N657" s="16"/>
      <c r="O657" s="1"/>
    </row>
    <row r="658" spans="1:15" ht="12.75">
      <c r="A658" s="1"/>
      <c r="D658" s="8" t="s">
        <v>441</v>
      </c>
      <c r="E658" s="9" t="s">
        <v>808</v>
      </c>
      <c r="G658" s="12">
        <v>7.7076</v>
      </c>
      <c r="N658" s="16"/>
      <c r="O658" s="1"/>
    </row>
    <row r="659" spans="1:15" ht="12.75">
      <c r="A659" s="1"/>
      <c r="D659" s="8" t="s">
        <v>442</v>
      </c>
      <c r="E659" s="9" t="s">
        <v>809</v>
      </c>
      <c r="G659" s="12">
        <v>14.1444</v>
      </c>
      <c r="N659" s="16"/>
      <c r="O659" s="1"/>
    </row>
    <row r="660" spans="1:15" ht="12.75">
      <c r="A660" s="1"/>
      <c r="D660" s="8" t="s">
        <v>430</v>
      </c>
      <c r="E660" s="9" t="s">
        <v>800</v>
      </c>
      <c r="G660" s="12">
        <v>146.84</v>
      </c>
      <c r="N660" s="16"/>
      <c r="O660" s="1"/>
    </row>
    <row r="661" spans="1:15" ht="12.75">
      <c r="A661" s="1"/>
      <c r="D661" s="8" t="s">
        <v>443</v>
      </c>
      <c r="E661" s="9" t="s">
        <v>810</v>
      </c>
      <c r="G661" s="12">
        <v>5.67295</v>
      </c>
      <c r="N661" s="16"/>
      <c r="O661" s="1"/>
    </row>
    <row r="662" spans="1:15" ht="12.75">
      <c r="A662" s="1"/>
      <c r="D662" s="8" t="s">
        <v>444</v>
      </c>
      <c r="E662" s="9" t="s">
        <v>811</v>
      </c>
      <c r="G662" s="12">
        <v>10.14415</v>
      </c>
      <c r="N662" s="16"/>
      <c r="O662" s="1"/>
    </row>
    <row r="663" spans="1:15" ht="12.75">
      <c r="A663" s="1"/>
      <c r="D663" s="8" t="s">
        <v>431</v>
      </c>
      <c r="E663" s="9" t="s">
        <v>801</v>
      </c>
      <c r="G663" s="12">
        <v>-81.217</v>
      </c>
      <c r="N663" s="16"/>
      <c r="O663" s="1"/>
    </row>
    <row r="664" spans="1:15" ht="12.75">
      <c r="A664" s="1"/>
      <c r="D664" s="8" t="s">
        <v>432</v>
      </c>
      <c r="E664" s="9" t="s">
        <v>802</v>
      </c>
      <c r="G664" s="12">
        <v>-77.665</v>
      </c>
      <c r="N664" s="16"/>
      <c r="O664" s="1"/>
    </row>
    <row r="665" spans="1:15" ht="12.75">
      <c r="A665" s="1"/>
      <c r="D665" s="8" t="s">
        <v>433</v>
      </c>
      <c r="E665" s="9" t="s">
        <v>803</v>
      </c>
      <c r="G665" s="12">
        <v>-27.35663</v>
      </c>
      <c r="N665" s="16"/>
      <c r="O665" s="1"/>
    </row>
    <row r="666" spans="1:15" ht="12.75">
      <c r="A666" s="1"/>
      <c r="D666" s="8" t="s">
        <v>723</v>
      </c>
      <c r="E666" s="9" t="s">
        <v>877</v>
      </c>
      <c r="G666" s="12">
        <v>-68.49738</v>
      </c>
      <c r="N666" s="16"/>
      <c r="O666" s="1"/>
    </row>
    <row r="667" spans="1:15" ht="12.75">
      <c r="A667" s="1"/>
      <c r="D667" s="8" t="s">
        <v>422</v>
      </c>
      <c r="E667" s="9" t="s">
        <v>794</v>
      </c>
      <c r="G667" s="12">
        <v>-50.7</v>
      </c>
      <c r="N667" s="16"/>
      <c r="O667" s="1"/>
    </row>
    <row r="668" spans="1:64" ht="12.75">
      <c r="A668" s="60" t="s">
        <v>141</v>
      </c>
      <c r="B668" s="5"/>
      <c r="C668" s="5" t="s">
        <v>315</v>
      </c>
      <c r="D668" s="176" t="s">
        <v>724</v>
      </c>
      <c r="E668" s="177"/>
      <c r="F668" s="5" t="s">
        <v>881</v>
      </c>
      <c r="G668" s="11">
        <v>64.74</v>
      </c>
      <c r="H668" s="103"/>
      <c r="I668" s="11">
        <f>G668*AO668</f>
        <v>0</v>
      </c>
      <c r="J668" s="11">
        <f>G668*AP668</f>
        <v>0</v>
      </c>
      <c r="K668" s="11">
        <f>G668*H668</f>
        <v>0</v>
      </c>
      <c r="L668" s="11">
        <v>0.014</v>
      </c>
      <c r="M668" s="11">
        <f>G668*L668</f>
        <v>0.9063599999999999</v>
      </c>
      <c r="N668" s="15" t="s">
        <v>912</v>
      </c>
      <c r="O668" s="1"/>
      <c r="Z668" s="20">
        <f>IF(AQ668="5",BJ668,0)</f>
        <v>0</v>
      </c>
      <c r="AB668" s="20">
        <f>IF(AQ668="1",BH668,0)</f>
        <v>0</v>
      </c>
      <c r="AC668" s="20">
        <f>IF(AQ668="1",BI668,0)</f>
        <v>0</v>
      </c>
      <c r="AD668" s="20">
        <f>IF(AQ668="7",BH668,0)</f>
        <v>0</v>
      </c>
      <c r="AE668" s="20">
        <f>IF(AQ668="7",BI668,0)</f>
        <v>0</v>
      </c>
      <c r="AF668" s="20">
        <f>IF(AQ668="2",BH668,0)</f>
        <v>0</v>
      </c>
      <c r="AG668" s="20">
        <f>IF(AQ668="2",BI668,0)</f>
        <v>0</v>
      </c>
      <c r="AH668" s="20">
        <f>IF(AQ668="0",BJ668,0)</f>
        <v>0</v>
      </c>
      <c r="AI668" s="14"/>
      <c r="AJ668" s="11">
        <f>IF(AN668=0,K668,0)</f>
        <v>0</v>
      </c>
      <c r="AK668" s="11">
        <f>IF(AN668=15,K668,0)</f>
        <v>0</v>
      </c>
      <c r="AL668" s="11">
        <f>IF(AN668=21,K668,0)</f>
        <v>0</v>
      </c>
      <c r="AN668" s="20">
        <v>21</v>
      </c>
      <c r="AO668" s="20">
        <f>H668*0</f>
        <v>0</v>
      </c>
      <c r="AP668" s="20">
        <f>H668*(1-0)</f>
        <v>0</v>
      </c>
      <c r="AQ668" s="21" t="s">
        <v>7</v>
      </c>
      <c r="AV668" s="20">
        <f>AW668+AX668</f>
        <v>0</v>
      </c>
      <c r="AW668" s="20">
        <f>G668*AO668</f>
        <v>0</v>
      </c>
      <c r="AX668" s="20">
        <f>G668*AP668</f>
        <v>0</v>
      </c>
      <c r="AY668" s="23" t="s">
        <v>952</v>
      </c>
      <c r="AZ668" s="23" t="s">
        <v>973</v>
      </c>
      <c r="BA668" s="14" t="s">
        <v>976</v>
      </c>
      <c r="BC668" s="20">
        <f>AW668+AX668</f>
        <v>0</v>
      </c>
      <c r="BD668" s="20">
        <f>H668/(100-BE668)*100</f>
        <v>0</v>
      </c>
      <c r="BE668" s="20">
        <v>0</v>
      </c>
      <c r="BF668" s="20">
        <f>M668</f>
        <v>0.9063599999999999</v>
      </c>
      <c r="BH668" s="11">
        <f>G668*AO668</f>
        <v>0</v>
      </c>
      <c r="BI668" s="11">
        <f>G668*AP668</f>
        <v>0</v>
      </c>
      <c r="BJ668" s="11">
        <f>G668*H668</f>
        <v>0</v>
      </c>
      <c r="BK668" s="11" t="s">
        <v>981</v>
      </c>
      <c r="BL668" s="20">
        <v>97</v>
      </c>
    </row>
    <row r="669" spans="1:15" ht="12.75">
      <c r="A669" s="1"/>
      <c r="D669" s="96" t="s">
        <v>1041</v>
      </c>
      <c r="E669" s="98" t="s">
        <v>1042</v>
      </c>
      <c r="G669" s="12">
        <v>78.56548</v>
      </c>
      <c r="N669" s="16"/>
      <c r="O669" s="1"/>
    </row>
    <row r="670" spans="1:15" ht="12.75">
      <c r="A670" s="1"/>
      <c r="D670" s="8" t="s">
        <v>424</v>
      </c>
      <c r="E670" s="9" t="s">
        <v>794</v>
      </c>
      <c r="G670" s="12">
        <v>-5.07</v>
      </c>
      <c r="N670" s="16"/>
      <c r="O670" s="1"/>
    </row>
    <row r="671" spans="1:64" ht="12.75">
      <c r="A671" s="60" t="s">
        <v>142</v>
      </c>
      <c r="B671" s="5"/>
      <c r="C671" s="5" t="s">
        <v>316</v>
      </c>
      <c r="D671" s="176" t="s">
        <v>725</v>
      </c>
      <c r="E671" s="177"/>
      <c r="F671" s="5" t="s">
        <v>881</v>
      </c>
      <c r="G671" s="11">
        <v>88.19</v>
      </c>
      <c r="H671" s="103"/>
      <c r="I671" s="11">
        <f>G671*AO671</f>
        <v>0</v>
      </c>
      <c r="J671" s="11">
        <f>G671*AP671</f>
        <v>0</v>
      </c>
      <c r="K671" s="11">
        <f>G671*H671</f>
        <v>0</v>
      </c>
      <c r="L671" s="11">
        <v>0.09234</v>
      </c>
      <c r="M671" s="11">
        <f>G671*L671</f>
        <v>8.1434646</v>
      </c>
      <c r="N671" s="15" t="s">
        <v>912</v>
      </c>
      <c r="O671" s="1"/>
      <c r="Z671" s="20">
        <f>IF(AQ671="5",BJ671,0)</f>
        <v>0</v>
      </c>
      <c r="AB671" s="20">
        <f>IF(AQ671="1",BH671,0)</f>
        <v>0</v>
      </c>
      <c r="AC671" s="20">
        <f>IF(AQ671="1",BI671,0)</f>
        <v>0</v>
      </c>
      <c r="AD671" s="20">
        <f>IF(AQ671="7",BH671,0)</f>
        <v>0</v>
      </c>
      <c r="AE671" s="20">
        <f>IF(AQ671="7",BI671,0)</f>
        <v>0</v>
      </c>
      <c r="AF671" s="20">
        <f>IF(AQ671="2",BH671,0)</f>
        <v>0</v>
      </c>
      <c r="AG671" s="20">
        <f>IF(AQ671="2",BI671,0)</f>
        <v>0</v>
      </c>
      <c r="AH671" s="20">
        <f>IF(AQ671="0",BJ671,0)</f>
        <v>0</v>
      </c>
      <c r="AI671" s="14"/>
      <c r="AJ671" s="11">
        <f>IF(AN671=0,K671,0)</f>
        <v>0</v>
      </c>
      <c r="AK671" s="11">
        <f>IF(AN671=15,K671,0)</f>
        <v>0</v>
      </c>
      <c r="AL671" s="11">
        <f>IF(AN671=21,K671,0)</f>
        <v>0</v>
      </c>
      <c r="AN671" s="20">
        <v>21</v>
      </c>
      <c r="AO671" s="20">
        <f>H671*0.032962962962963</f>
        <v>0</v>
      </c>
      <c r="AP671" s="20">
        <f>H671*(1-0.032962962962963)</f>
        <v>0</v>
      </c>
      <c r="AQ671" s="21" t="s">
        <v>7</v>
      </c>
      <c r="AV671" s="20">
        <f>AW671+AX671</f>
        <v>0</v>
      </c>
      <c r="AW671" s="20">
        <f>G671*AO671</f>
        <v>0</v>
      </c>
      <c r="AX671" s="20">
        <f>G671*AP671</f>
        <v>0</v>
      </c>
      <c r="AY671" s="23" t="s">
        <v>952</v>
      </c>
      <c r="AZ671" s="23" t="s">
        <v>973</v>
      </c>
      <c r="BA671" s="14" t="s">
        <v>976</v>
      </c>
      <c r="BC671" s="20">
        <f>AW671+AX671</f>
        <v>0</v>
      </c>
      <c r="BD671" s="20">
        <f>H671/(100-BE671)*100</f>
        <v>0</v>
      </c>
      <c r="BE671" s="20">
        <v>0</v>
      </c>
      <c r="BF671" s="20">
        <f>M671</f>
        <v>8.1434646</v>
      </c>
      <c r="BH671" s="11">
        <f>G671*AO671</f>
        <v>0</v>
      </c>
      <c r="BI671" s="11">
        <f>G671*AP671</f>
        <v>0</v>
      </c>
      <c r="BJ671" s="11">
        <f>G671*H671</f>
        <v>0</v>
      </c>
      <c r="BK671" s="11" t="s">
        <v>981</v>
      </c>
      <c r="BL671" s="20">
        <v>97</v>
      </c>
    </row>
    <row r="672" spans="1:15" ht="12.75">
      <c r="A672" s="1"/>
      <c r="D672" s="8" t="s">
        <v>426</v>
      </c>
      <c r="E672" s="9" t="s">
        <v>796</v>
      </c>
      <c r="G672" s="12">
        <v>35.245</v>
      </c>
      <c r="N672" s="16"/>
      <c r="O672" s="1"/>
    </row>
    <row r="673" spans="1:15" ht="12.75">
      <c r="A673" s="1"/>
      <c r="D673" s="8" t="s">
        <v>428</v>
      </c>
      <c r="E673" s="9" t="s">
        <v>798</v>
      </c>
      <c r="G673" s="12">
        <v>36.281</v>
      </c>
      <c r="N673" s="16"/>
      <c r="O673" s="1"/>
    </row>
    <row r="674" spans="1:15" ht="12.75">
      <c r="A674" s="1"/>
      <c r="D674" s="8" t="s">
        <v>429</v>
      </c>
      <c r="E674" s="9" t="s">
        <v>799</v>
      </c>
      <c r="G674" s="12">
        <v>16.667</v>
      </c>
      <c r="N674" s="16"/>
      <c r="O674" s="1"/>
    </row>
    <row r="675" spans="1:64" ht="12.75">
      <c r="A675" s="60" t="s">
        <v>143</v>
      </c>
      <c r="B675" s="5"/>
      <c r="C675" s="5" t="s">
        <v>317</v>
      </c>
      <c r="D675" s="176" t="s">
        <v>726</v>
      </c>
      <c r="E675" s="177"/>
      <c r="F675" s="5" t="s">
        <v>881</v>
      </c>
      <c r="G675" s="11">
        <v>17.24</v>
      </c>
      <c r="H675" s="103"/>
      <c r="I675" s="11">
        <f>G675*AO675</f>
        <v>0</v>
      </c>
      <c r="J675" s="11">
        <f>G675*AP675</f>
        <v>0</v>
      </c>
      <c r="K675" s="11">
        <f>G675*H675</f>
        <v>0</v>
      </c>
      <c r="L675" s="11">
        <v>0.102</v>
      </c>
      <c r="M675" s="11">
        <f>G675*L675</f>
        <v>1.7584799999999998</v>
      </c>
      <c r="N675" s="15" t="s">
        <v>912</v>
      </c>
      <c r="O675" s="1"/>
      <c r="Z675" s="20">
        <f>IF(AQ675="5",BJ675,0)</f>
        <v>0</v>
      </c>
      <c r="AB675" s="20">
        <f>IF(AQ675="1",BH675,0)</f>
        <v>0</v>
      </c>
      <c r="AC675" s="20">
        <f>IF(AQ675="1",BI675,0)</f>
        <v>0</v>
      </c>
      <c r="AD675" s="20">
        <f>IF(AQ675="7",BH675,0)</f>
        <v>0</v>
      </c>
      <c r="AE675" s="20">
        <f>IF(AQ675="7",BI675,0)</f>
        <v>0</v>
      </c>
      <c r="AF675" s="20">
        <f>IF(AQ675="2",BH675,0)</f>
        <v>0</v>
      </c>
      <c r="AG675" s="20">
        <f>IF(AQ675="2",BI675,0)</f>
        <v>0</v>
      </c>
      <c r="AH675" s="20">
        <f>IF(AQ675="0",BJ675,0)</f>
        <v>0</v>
      </c>
      <c r="AI675" s="14"/>
      <c r="AJ675" s="11">
        <f>IF(AN675=0,K675,0)</f>
        <v>0</v>
      </c>
      <c r="AK675" s="11">
        <f>IF(AN675=15,K675,0)</f>
        <v>0</v>
      </c>
      <c r="AL675" s="11">
        <f>IF(AN675=21,K675,0)</f>
        <v>0</v>
      </c>
      <c r="AN675" s="20">
        <v>21</v>
      </c>
      <c r="AO675" s="20">
        <f>H675*0</f>
        <v>0</v>
      </c>
      <c r="AP675" s="20">
        <f>H675*(1-0)</f>
        <v>0</v>
      </c>
      <c r="AQ675" s="21" t="s">
        <v>7</v>
      </c>
      <c r="AV675" s="20">
        <f>AW675+AX675</f>
        <v>0</v>
      </c>
      <c r="AW675" s="20">
        <f>G675*AO675</f>
        <v>0</v>
      </c>
      <c r="AX675" s="20">
        <f>G675*AP675</f>
        <v>0</v>
      </c>
      <c r="AY675" s="23" t="s">
        <v>952</v>
      </c>
      <c r="AZ675" s="23" t="s">
        <v>973</v>
      </c>
      <c r="BA675" s="14" t="s">
        <v>976</v>
      </c>
      <c r="BC675" s="20">
        <f>AW675+AX675</f>
        <v>0</v>
      </c>
      <c r="BD675" s="20">
        <f>H675/(100-BE675)*100</f>
        <v>0</v>
      </c>
      <c r="BE675" s="20">
        <v>0</v>
      </c>
      <c r="BF675" s="20">
        <f>M675</f>
        <v>1.7584799999999998</v>
      </c>
      <c r="BH675" s="11">
        <f>G675*AO675</f>
        <v>0</v>
      </c>
      <c r="BI675" s="11">
        <f>G675*AP675</f>
        <v>0</v>
      </c>
      <c r="BJ675" s="11">
        <f>G675*H675</f>
        <v>0</v>
      </c>
      <c r="BK675" s="11" t="s">
        <v>981</v>
      </c>
      <c r="BL675" s="20">
        <v>97</v>
      </c>
    </row>
    <row r="676" spans="1:15" ht="12.75">
      <c r="A676" s="1"/>
      <c r="D676" s="8" t="s">
        <v>727</v>
      </c>
      <c r="E676" s="9" t="s">
        <v>800</v>
      </c>
      <c r="G676" s="12">
        <v>84.702</v>
      </c>
      <c r="N676" s="16"/>
      <c r="O676" s="1"/>
    </row>
    <row r="677" spans="1:15" ht="12.75">
      <c r="A677" s="1"/>
      <c r="D677" s="8" t="s">
        <v>443</v>
      </c>
      <c r="E677" s="9" t="s">
        <v>811</v>
      </c>
      <c r="G677" s="12">
        <v>5.67295</v>
      </c>
      <c r="N677" s="16"/>
      <c r="O677" s="1"/>
    </row>
    <row r="678" spans="1:15" ht="12.75">
      <c r="A678" s="1"/>
      <c r="D678" s="8" t="s">
        <v>444</v>
      </c>
      <c r="E678" s="9" t="s">
        <v>878</v>
      </c>
      <c r="G678" s="12">
        <v>10.14415</v>
      </c>
      <c r="N678" s="16"/>
      <c r="O678" s="1"/>
    </row>
    <row r="679" spans="1:15" ht="12.75">
      <c r="A679" s="1"/>
      <c r="D679" s="8" t="s">
        <v>728</v>
      </c>
      <c r="E679" s="9" t="s">
        <v>815</v>
      </c>
      <c r="G679" s="12">
        <v>61.73</v>
      </c>
      <c r="N679" s="16"/>
      <c r="O679" s="1"/>
    </row>
    <row r="680" spans="1:15" ht="12.75">
      <c r="A680" s="1"/>
      <c r="D680" s="8" t="s">
        <v>433</v>
      </c>
      <c r="E680" s="9" t="s">
        <v>803</v>
      </c>
      <c r="G680" s="12">
        <v>-27.35663</v>
      </c>
      <c r="N680" s="16"/>
      <c r="O680" s="1"/>
    </row>
    <row r="681" spans="1:15" ht="12.75">
      <c r="A681" s="1"/>
      <c r="D681" s="8" t="s">
        <v>729</v>
      </c>
      <c r="E681" s="9" t="s">
        <v>794</v>
      </c>
      <c r="G681" s="12">
        <v>-117.65</v>
      </c>
      <c r="N681" s="16"/>
      <c r="O681" s="1"/>
    </row>
    <row r="682" spans="1:47" ht="12.75">
      <c r="A682" s="2"/>
      <c r="B682" s="6"/>
      <c r="C682" s="6" t="s">
        <v>318</v>
      </c>
      <c r="D682" s="174" t="s">
        <v>730</v>
      </c>
      <c r="E682" s="175"/>
      <c r="F682" s="10" t="s">
        <v>6</v>
      </c>
      <c r="G682" s="10" t="s">
        <v>6</v>
      </c>
      <c r="H682" s="10"/>
      <c r="I682" s="25">
        <f>SUM(I683:I683)</f>
        <v>0</v>
      </c>
      <c r="J682" s="25">
        <f>SUM(J683:J683)</f>
        <v>0</v>
      </c>
      <c r="K682" s="25">
        <f>SUM(K683:K683)</f>
        <v>0</v>
      </c>
      <c r="L682" s="14"/>
      <c r="M682" s="25">
        <f>SUM(M683:M683)</f>
        <v>0</v>
      </c>
      <c r="N682" s="17"/>
      <c r="O682" s="1"/>
      <c r="AI682" s="14"/>
      <c r="AS682" s="25">
        <f>SUM(AJ683:AJ683)</f>
        <v>0</v>
      </c>
      <c r="AT682" s="25">
        <f>SUM(AK683:AK683)</f>
        <v>0</v>
      </c>
      <c r="AU682" s="25">
        <f>SUM(AL683:AL683)</f>
        <v>0</v>
      </c>
    </row>
    <row r="683" spans="1:64" ht="12.75">
      <c r="A683" s="60" t="s">
        <v>144</v>
      </c>
      <c r="B683" s="5"/>
      <c r="C683" s="5" t="s">
        <v>319</v>
      </c>
      <c r="D683" s="159" t="s">
        <v>731</v>
      </c>
      <c r="E683" s="150"/>
      <c r="F683" s="5" t="s">
        <v>887</v>
      </c>
      <c r="G683" s="11">
        <v>267.4</v>
      </c>
      <c r="H683" s="103"/>
      <c r="I683" s="11">
        <f>G683*AO683</f>
        <v>0</v>
      </c>
      <c r="J683" s="11">
        <f>G683*AP683</f>
        <v>0</v>
      </c>
      <c r="K683" s="11">
        <f>G683*H683</f>
        <v>0</v>
      </c>
      <c r="L683" s="11">
        <v>0</v>
      </c>
      <c r="M683" s="11">
        <f>G683*L683</f>
        <v>0</v>
      </c>
      <c r="N683" s="15" t="s">
        <v>912</v>
      </c>
      <c r="O683" s="1"/>
      <c r="Z683" s="20">
        <f>IF(AQ683="5",BJ683,0)</f>
        <v>0</v>
      </c>
      <c r="AB683" s="20">
        <f>IF(AQ683="1",BH683,0)</f>
        <v>0</v>
      </c>
      <c r="AC683" s="20">
        <f>IF(AQ683="1",BI683,0)</f>
        <v>0</v>
      </c>
      <c r="AD683" s="20">
        <f>IF(AQ683="7",BH683,0)</f>
        <v>0</v>
      </c>
      <c r="AE683" s="20">
        <f>IF(AQ683="7",BI683,0)</f>
        <v>0</v>
      </c>
      <c r="AF683" s="20">
        <f>IF(AQ683="2",BH683,0)</f>
        <v>0</v>
      </c>
      <c r="AG683" s="20">
        <f>IF(AQ683="2",BI683,0)</f>
        <v>0</v>
      </c>
      <c r="AH683" s="20">
        <f>IF(AQ683="0",BJ683,0)</f>
        <v>0</v>
      </c>
      <c r="AI683" s="14"/>
      <c r="AJ683" s="11">
        <f>IF(AN683=0,K683,0)</f>
        <v>0</v>
      </c>
      <c r="AK683" s="11">
        <f>IF(AN683=15,K683,0)</f>
        <v>0</v>
      </c>
      <c r="AL683" s="11">
        <f>IF(AN683=21,K683,0)</f>
        <v>0</v>
      </c>
      <c r="AN683" s="20">
        <v>21</v>
      </c>
      <c r="AO683" s="20">
        <f>H683*0</f>
        <v>0</v>
      </c>
      <c r="AP683" s="20">
        <f>H683*(1-0)</f>
        <v>0</v>
      </c>
      <c r="AQ683" s="21" t="s">
        <v>11</v>
      </c>
      <c r="AV683" s="20">
        <f>AW683+AX683</f>
        <v>0</v>
      </c>
      <c r="AW683" s="20">
        <f>G683*AO683</f>
        <v>0</v>
      </c>
      <c r="AX683" s="20">
        <f>G683*AP683</f>
        <v>0</v>
      </c>
      <c r="AY683" s="23" t="s">
        <v>953</v>
      </c>
      <c r="AZ683" s="23" t="s">
        <v>973</v>
      </c>
      <c r="BA683" s="14" t="s">
        <v>976</v>
      </c>
      <c r="BC683" s="20">
        <f>AW683+AX683</f>
        <v>0</v>
      </c>
      <c r="BD683" s="20">
        <f>H683/(100-BE683)*100</f>
        <v>0</v>
      </c>
      <c r="BE683" s="20">
        <v>0</v>
      </c>
      <c r="BF683" s="20">
        <f>M683</f>
        <v>0</v>
      </c>
      <c r="BH683" s="11">
        <f>G683*AO683</f>
        <v>0</v>
      </c>
      <c r="BI683" s="11">
        <f>G683*AP683</f>
        <v>0</v>
      </c>
      <c r="BJ683" s="11">
        <f>G683*H683</f>
        <v>0</v>
      </c>
      <c r="BK683" s="11" t="s">
        <v>981</v>
      </c>
      <c r="BL683" s="20" t="s">
        <v>318</v>
      </c>
    </row>
    <row r="684" spans="1:47" ht="12.75">
      <c r="A684" s="2"/>
      <c r="B684" s="6"/>
      <c r="C684" s="6" t="s">
        <v>320</v>
      </c>
      <c r="D684" s="174" t="s">
        <v>732</v>
      </c>
      <c r="E684" s="175"/>
      <c r="F684" s="10" t="s">
        <v>6</v>
      </c>
      <c r="G684" s="10" t="s">
        <v>6</v>
      </c>
      <c r="H684" s="10"/>
      <c r="I684" s="25">
        <f>SUM(I685:I685)</f>
        <v>0</v>
      </c>
      <c r="J684" s="25">
        <f>SUM(J685:J685)</f>
        <v>0</v>
      </c>
      <c r="K684" s="25">
        <f>SUM(K685:K685)</f>
        <v>0</v>
      </c>
      <c r="L684" s="14"/>
      <c r="M684" s="25">
        <f>SUM(M685:M685)</f>
        <v>0</v>
      </c>
      <c r="N684" s="17"/>
      <c r="O684" s="1"/>
      <c r="AI684" s="14"/>
      <c r="AS684" s="25">
        <f>SUM(AJ685:AJ685)</f>
        <v>0</v>
      </c>
      <c r="AT684" s="25">
        <f>SUM(AK685:AK685)</f>
        <v>0</v>
      </c>
      <c r="AU684" s="25">
        <f>SUM(AL685:AL685)</f>
        <v>0</v>
      </c>
    </row>
    <row r="685" spans="1:64" ht="12.75">
      <c r="A685" s="60" t="s">
        <v>145</v>
      </c>
      <c r="B685" s="5"/>
      <c r="C685" s="5" t="s">
        <v>321</v>
      </c>
      <c r="D685" s="178" t="s">
        <v>1029</v>
      </c>
      <c r="E685" s="177"/>
      <c r="F685" s="5" t="s">
        <v>885</v>
      </c>
      <c r="G685" s="11">
        <v>1</v>
      </c>
      <c r="H685" s="103"/>
      <c r="I685" s="11">
        <f>G685*AO685</f>
        <v>0</v>
      </c>
      <c r="J685" s="11">
        <f>G685*AP685</f>
        <v>0</v>
      </c>
      <c r="K685" s="11">
        <f>G685*H685</f>
        <v>0</v>
      </c>
      <c r="L685" s="11">
        <v>0</v>
      </c>
      <c r="M685" s="11">
        <f>G685*L685</f>
        <v>0</v>
      </c>
      <c r="N685" s="15" t="s">
        <v>913</v>
      </c>
      <c r="O685" s="1"/>
      <c r="Z685" s="20">
        <f>IF(AQ685="5",BJ685,0)</f>
        <v>0</v>
      </c>
      <c r="AB685" s="20">
        <f>IF(AQ685="1",BH685,0)</f>
        <v>0</v>
      </c>
      <c r="AC685" s="20">
        <f>IF(AQ685="1",BI685,0)</f>
        <v>0</v>
      </c>
      <c r="AD685" s="20">
        <f>IF(AQ685="7",BH685,0)</f>
        <v>0</v>
      </c>
      <c r="AE685" s="20">
        <f>IF(AQ685="7",BI685,0)</f>
        <v>0</v>
      </c>
      <c r="AF685" s="20">
        <f>IF(AQ685="2",BH685,0)</f>
        <v>0</v>
      </c>
      <c r="AG685" s="20">
        <f>IF(AQ685="2",BI685,0)</f>
        <v>0</v>
      </c>
      <c r="AH685" s="20">
        <f>IF(AQ685="0",BJ685,0)</f>
        <v>0</v>
      </c>
      <c r="AI685" s="14"/>
      <c r="AJ685" s="11">
        <f>IF(AN685=0,K685,0)</f>
        <v>0</v>
      </c>
      <c r="AK685" s="11">
        <f>IF(AN685=15,K685,0)</f>
        <v>0</v>
      </c>
      <c r="AL685" s="11">
        <f>IF(AN685=21,K685,0)</f>
        <v>0</v>
      </c>
      <c r="AN685" s="20">
        <v>21</v>
      </c>
      <c r="AO685" s="20">
        <f>H685*0.242969356265002</f>
        <v>0</v>
      </c>
      <c r="AP685" s="20">
        <f>H685*(1-0.242969356265002)</f>
        <v>0</v>
      </c>
      <c r="AQ685" s="21" t="s">
        <v>8</v>
      </c>
      <c r="AV685" s="20">
        <f>AW685+AX685</f>
        <v>0</v>
      </c>
      <c r="AW685" s="20">
        <f>G685*AO685</f>
        <v>0</v>
      </c>
      <c r="AX685" s="20">
        <f>G685*AP685</f>
        <v>0</v>
      </c>
      <c r="AY685" s="23" t="s">
        <v>954</v>
      </c>
      <c r="AZ685" s="23" t="s">
        <v>973</v>
      </c>
      <c r="BA685" s="14" t="s">
        <v>976</v>
      </c>
      <c r="BC685" s="20">
        <f>AW685+AX685</f>
        <v>0</v>
      </c>
      <c r="BD685" s="20">
        <f>H685/(100-BE685)*100</f>
        <v>0</v>
      </c>
      <c r="BE685" s="20">
        <v>0</v>
      </c>
      <c r="BF685" s="20">
        <f>M685</f>
        <v>0</v>
      </c>
      <c r="BH685" s="11">
        <f>G685*AO685</f>
        <v>0</v>
      </c>
      <c r="BI685" s="11">
        <f>G685*AP685</f>
        <v>0</v>
      </c>
      <c r="BJ685" s="11">
        <f>G685*H685</f>
        <v>0</v>
      </c>
      <c r="BK685" s="11" t="s">
        <v>981</v>
      </c>
      <c r="BL685" s="20" t="s">
        <v>320</v>
      </c>
    </row>
    <row r="686" spans="1:15" ht="12.75">
      <c r="A686" s="1"/>
      <c r="D686" s="8" t="s">
        <v>7</v>
      </c>
      <c r="E686" s="9"/>
      <c r="G686" s="12">
        <v>1</v>
      </c>
      <c r="N686" s="16"/>
      <c r="O686" s="1"/>
    </row>
    <row r="687" spans="1:47" ht="12.75">
      <c r="A687" s="2"/>
      <c r="B687" s="6"/>
      <c r="C687" s="6" t="s">
        <v>322</v>
      </c>
      <c r="D687" s="174" t="s">
        <v>733</v>
      </c>
      <c r="E687" s="175"/>
      <c r="F687" s="10" t="s">
        <v>6</v>
      </c>
      <c r="G687" s="10" t="s">
        <v>6</v>
      </c>
      <c r="H687" s="10"/>
      <c r="I687" s="25">
        <f>SUM(I688:I690)</f>
        <v>0</v>
      </c>
      <c r="J687" s="25">
        <f>SUM(J688:J690)</f>
        <v>0</v>
      </c>
      <c r="K687" s="25">
        <f>SUM(K688:K690)</f>
        <v>0</v>
      </c>
      <c r="L687" s="14"/>
      <c r="M687" s="25">
        <f>SUM(M688:M690)</f>
        <v>0</v>
      </c>
      <c r="N687" s="17"/>
      <c r="O687" s="1"/>
      <c r="AI687" s="14"/>
      <c r="AS687" s="25">
        <f>SUM(AJ688:AJ690)</f>
        <v>0</v>
      </c>
      <c r="AT687" s="25">
        <f>SUM(AK688:AK690)</f>
        <v>0</v>
      </c>
      <c r="AU687" s="25">
        <f>SUM(AL688:AL690)</f>
        <v>0</v>
      </c>
    </row>
    <row r="688" spans="1:64" ht="12.75">
      <c r="A688" s="60" t="s">
        <v>146</v>
      </c>
      <c r="B688" s="5"/>
      <c r="C688" s="5" t="s">
        <v>323</v>
      </c>
      <c r="D688" s="176" t="s">
        <v>734</v>
      </c>
      <c r="E688" s="177"/>
      <c r="F688" s="5" t="s">
        <v>885</v>
      </c>
      <c r="G688" s="11">
        <v>1</v>
      </c>
      <c r="H688" s="103"/>
      <c r="I688" s="11">
        <f>G688*AO688</f>
        <v>0</v>
      </c>
      <c r="J688" s="11">
        <f>G688*AP688</f>
        <v>0</v>
      </c>
      <c r="K688" s="11">
        <f>G688*H688</f>
        <v>0</v>
      </c>
      <c r="L688" s="11">
        <v>0</v>
      </c>
      <c r="M688" s="11">
        <f>G688*L688</f>
        <v>0</v>
      </c>
      <c r="N688" s="15" t="s">
        <v>913</v>
      </c>
      <c r="O688" s="1"/>
      <c r="Z688" s="20">
        <f>IF(AQ688="5",BJ688,0)</f>
        <v>0</v>
      </c>
      <c r="AB688" s="20">
        <f>IF(AQ688="1",BH688,0)</f>
        <v>0</v>
      </c>
      <c r="AC688" s="20">
        <f>IF(AQ688="1",BI688,0)</f>
        <v>0</v>
      </c>
      <c r="AD688" s="20">
        <f>IF(AQ688="7",BH688,0)</f>
        <v>0</v>
      </c>
      <c r="AE688" s="20">
        <f>IF(AQ688="7",BI688,0)</f>
        <v>0</v>
      </c>
      <c r="AF688" s="20">
        <f>IF(AQ688="2",BH688,0)</f>
        <v>0</v>
      </c>
      <c r="AG688" s="20">
        <f>IF(AQ688="2",BI688,0)</f>
        <v>0</v>
      </c>
      <c r="AH688" s="20">
        <f>IF(AQ688="0",BJ688,0)</f>
        <v>0</v>
      </c>
      <c r="AI688" s="14"/>
      <c r="AJ688" s="11">
        <f>IF(AN688=0,K688,0)</f>
        <v>0</v>
      </c>
      <c r="AK688" s="11">
        <f>IF(AN688=15,K688,0)</f>
        <v>0</v>
      </c>
      <c r="AL688" s="11">
        <f>IF(AN688=21,K688,0)</f>
        <v>0</v>
      </c>
      <c r="AN688" s="20">
        <v>21</v>
      </c>
      <c r="AO688" s="20">
        <f>H688*0.0666666666666667</f>
        <v>0</v>
      </c>
      <c r="AP688" s="20">
        <f>H688*(1-0.0666666666666667)</f>
        <v>0</v>
      </c>
      <c r="AQ688" s="21" t="s">
        <v>8</v>
      </c>
      <c r="AV688" s="20">
        <f>AW688+AX688</f>
        <v>0</v>
      </c>
      <c r="AW688" s="20">
        <f>G688*AO688</f>
        <v>0</v>
      </c>
      <c r="AX688" s="20">
        <f>G688*AP688</f>
        <v>0</v>
      </c>
      <c r="AY688" s="23" t="s">
        <v>955</v>
      </c>
      <c r="AZ688" s="23" t="s">
        <v>973</v>
      </c>
      <c r="BA688" s="14" t="s">
        <v>976</v>
      </c>
      <c r="BC688" s="20">
        <f>AW688+AX688</f>
        <v>0</v>
      </c>
      <c r="BD688" s="20">
        <f>H688/(100-BE688)*100</f>
        <v>0</v>
      </c>
      <c r="BE688" s="20">
        <v>0</v>
      </c>
      <c r="BF688" s="20">
        <f>M688</f>
        <v>0</v>
      </c>
      <c r="BH688" s="11">
        <f>G688*AO688</f>
        <v>0</v>
      </c>
      <c r="BI688" s="11">
        <f>G688*AP688</f>
        <v>0</v>
      </c>
      <c r="BJ688" s="11">
        <f>G688*H688</f>
        <v>0</v>
      </c>
      <c r="BK688" s="11" t="s">
        <v>981</v>
      </c>
      <c r="BL688" s="20" t="s">
        <v>322</v>
      </c>
    </row>
    <row r="689" spans="1:15" ht="12.75">
      <c r="A689" s="1"/>
      <c r="D689" s="8" t="s">
        <v>7</v>
      </c>
      <c r="E689" s="9"/>
      <c r="G689" s="12">
        <v>1</v>
      </c>
      <c r="N689" s="16"/>
      <c r="O689" s="1"/>
    </row>
    <row r="690" spans="1:64" ht="12.75">
      <c r="A690" s="60" t="s">
        <v>147</v>
      </c>
      <c r="B690" s="5"/>
      <c r="C690" s="5" t="s">
        <v>324</v>
      </c>
      <c r="D690" s="176" t="s">
        <v>735</v>
      </c>
      <c r="E690" s="177"/>
      <c r="F690" s="5" t="s">
        <v>885</v>
      </c>
      <c r="G690" s="11">
        <v>1</v>
      </c>
      <c r="H690" s="103"/>
      <c r="I690" s="11">
        <f>G690*AO690</f>
        <v>0</v>
      </c>
      <c r="J690" s="11">
        <f>G690*AP690</f>
        <v>0</v>
      </c>
      <c r="K690" s="11">
        <f>G690*H690</f>
        <v>0</v>
      </c>
      <c r="L690" s="11">
        <v>0</v>
      </c>
      <c r="M690" s="11">
        <f>G690*L690</f>
        <v>0</v>
      </c>
      <c r="N690" s="15" t="s">
        <v>913</v>
      </c>
      <c r="O690" s="1"/>
      <c r="Z690" s="20">
        <f>IF(AQ690="5",BJ690,0)</f>
        <v>0</v>
      </c>
      <c r="AB690" s="20">
        <f>IF(AQ690="1",BH690,0)</f>
        <v>0</v>
      </c>
      <c r="AC690" s="20">
        <f>IF(AQ690="1",BI690,0)</f>
        <v>0</v>
      </c>
      <c r="AD690" s="20">
        <f>IF(AQ690="7",BH690,0)</f>
        <v>0</v>
      </c>
      <c r="AE690" s="20">
        <f>IF(AQ690="7",BI690,0)</f>
        <v>0</v>
      </c>
      <c r="AF690" s="20">
        <f>IF(AQ690="2",BH690,0)</f>
        <v>0</v>
      </c>
      <c r="AG690" s="20">
        <f>IF(AQ690="2",BI690,0)</f>
        <v>0</v>
      </c>
      <c r="AH690" s="20">
        <f>IF(AQ690="0",BJ690,0)</f>
        <v>0</v>
      </c>
      <c r="AI690" s="14"/>
      <c r="AJ690" s="11">
        <f>IF(AN690=0,K690,0)</f>
        <v>0</v>
      </c>
      <c r="AK690" s="11">
        <f>IF(AN690=15,K690,0)</f>
        <v>0</v>
      </c>
      <c r="AL690" s="11">
        <f>IF(AN690=21,K690,0)</f>
        <v>0</v>
      </c>
      <c r="AN690" s="20">
        <v>21</v>
      </c>
      <c r="AO690" s="20">
        <f>H690*0.173605310619208</f>
        <v>0</v>
      </c>
      <c r="AP690" s="20">
        <f>H690*(1-0.173605310619208)</f>
        <v>0</v>
      </c>
      <c r="AQ690" s="21" t="s">
        <v>8</v>
      </c>
      <c r="AV690" s="20">
        <f>AW690+AX690</f>
        <v>0</v>
      </c>
      <c r="AW690" s="20">
        <f>G690*AO690</f>
        <v>0</v>
      </c>
      <c r="AX690" s="20">
        <f>G690*AP690</f>
        <v>0</v>
      </c>
      <c r="AY690" s="23" t="s">
        <v>955</v>
      </c>
      <c r="AZ690" s="23" t="s">
        <v>973</v>
      </c>
      <c r="BA690" s="14" t="s">
        <v>976</v>
      </c>
      <c r="BC690" s="20">
        <f>AW690+AX690</f>
        <v>0</v>
      </c>
      <c r="BD690" s="20">
        <f>H690/(100-BE690)*100</f>
        <v>0</v>
      </c>
      <c r="BE690" s="20">
        <v>0</v>
      </c>
      <c r="BF690" s="20">
        <f>M690</f>
        <v>0</v>
      </c>
      <c r="BH690" s="11">
        <f>G690*AO690</f>
        <v>0</v>
      </c>
      <c r="BI690" s="11">
        <f>G690*AP690</f>
        <v>0</v>
      </c>
      <c r="BJ690" s="11">
        <f>G690*H690</f>
        <v>0</v>
      </c>
      <c r="BK690" s="11" t="s">
        <v>981</v>
      </c>
      <c r="BL690" s="20" t="s">
        <v>322</v>
      </c>
    </row>
    <row r="691" spans="1:15" ht="12.75">
      <c r="A691" s="1"/>
      <c r="D691" s="8" t="s">
        <v>7</v>
      </c>
      <c r="E691" s="9"/>
      <c r="G691" s="12">
        <v>1</v>
      </c>
      <c r="N691" s="16"/>
      <c r="O691" s="1"/>
    </row>
    <row r="692" spans="1:47" ht="12.75">
      <c r="A692" s="2"/>
      <c r="B692" s="6"/>
      <c r="C692" s="6" t="s">
        <v>325</v>
      </c>
      <c r="D692" s="174" t="s">
        <v>736</v>
      </c>
      <c r="E692" s="175"/>
      <c r="F692" s="10" t="s">
        <v>6</v>
      </c>
      <c r="G692" s="10" t="s">
        <v>6</v>
      </c>
      <c r="H692" s="10"/>
      <c r="I692" s="25">
        <f>SUM(I693:I702)</f>
        <v>0</v>
      </c>
      <c r="J692" s="25">
        <f>SUM(J693:J702)</f>
        <v>0</v>
      </c>
      <c r="K692" s="25">
        <f>SUM(K693:K702)</f>
        <v>0</v>
      </c>
      <c r="L692" s="14"/>
      <c r="M692" s="25">
        <f>SUM(M693:M702)</f>
        <v>0</v>
      </c>
      <c r="N692" s="17"/>
      <c r="O692" s="1"/>
      <c r="AI692" s="14"/>
      <c r="AS692" s="25">
        <f>SUM(AJ693:AJ702)</f>
        <v>0</v>
      </c>
      <c r="AT692" s="25">
        <f>SUM(AK693:AK702)</f>
        <v>0</v>
      </c>
      <c r="AU692" s="25">
        <f>SUM(AL693:AL702)</f>
        <v>0</v>
      </c>
    </row>
    <row r="693" spans="1:64" ht="12.75">
      <c r="A693" s="60" t="s">
        <v>148</v>
      </c>
      <c r="B693" s="5"/>
      <c r="C693" s="5" t="s">
        <v>326</v>
      </c>
      <c r="D693" s="159" t="s">
        <v>737</v>
      </c>
      <c r="E693" s="150"/>
      <c r="F693" s="5" t="s">
        <v>887</v>
      </c>
      <c r="G693" s="11">
        <v>63.01</v>
      </c>
      <c r="H693" s="103"/>
      <c r="I693" s="11">
        <f>G693*AO693</f>
        <v>0</v>
      </c>
      <c r="J693" s="11">
        <f>G693*AP693</f>
        <v>0</v>
      </c>
      <c r="K693" s="11">
        <f>G693*H693</f>
        <v>0</v>
      </c>
      <c r="L693" s="11">
        <v>0</v>
      </c>
      <c r="M693" s="11">
        <f>G693*L693</f>
        <v>0</v>
      </c>
      <c r="N693" s="15" t="s">
        <v>912</v>
      </c>
      <c r="O693" s="1"/>
      <c r="Z693" s="20">
        <f>IF(AQ693="5",BJ693,0)</f>
        <v>0</v>
      </c>
      <c r="AB693" s="20">
        <f>IF(AQ693="1",BH693,0)</f>
        <v>0</v>
      </c>
      <c r="AC693" s="20">
        <f>IF(AQ693="1",BI693,0)</f>
        <v>0</v>
      </c>
      <c r="AD693" s="20">
        <f>IF(AQ693="7",BH693,0)</f>
        <v>0</v>
      </c>
      <c r="AE693" s="20">
        <f>IF(AQ693="7",BI693,0)</f>
        <v>0</v>
      </c>
      <c r="AF693" s="20">
        <f>IF(AQ693="2",BH693,0)</f>
        <v>0</v>
      </c>
      <c r="AG693" s="20">
        <f>IF(AQ693="2",BI693,0)</f>
        <v>0</v>
      </c>
      <c r="AH693" s="20">
        <f>IF(AQ693="0",BJ693,0)</f>
        <v>0</v>
      </c>
      <c r="AI693" s="14"/>
      <c r="AJ693" s="11">
        <f>IF(AN693=0,K693,0)</f>
        <v>0</v>
      </c>
      <c r="AK693" s="11">
        <f>IF(AN693=15,K693,0)</f>
        <v>0</v>
      </c>
      <c r="AL693" s="11">
        <f>IF(AN693=21,K693,0)</f>
        <v>0</v>
      </c>
      <c r="AN693" s="20">
        <v>21</v>
      </c>
      <c r="AO693" s="20">
        <f>H693*0</f>
        <v>0</v>
      </c>
      <c r="AP693" s="20">
        <f>H693*(1-0)</f>
        <v>0</v>
      </c>
      <c r="AQ693" s="21" t="s">
        <v>11</v>
      </c>
      <c r="AV693" s="20">
        <f>AW693+AX693</f>
        <v>0</v>
      </c>
      <c r="AW693" s="20">
        <f>G693*AO693</f>
        <v>0</v>
      </c>
      <c r="AX693" s="20">
        <f>G693*AP693</f>
        <v>0</v>
      </c>
      <c r="AY693" s="23" t="s">
        <v>956</v>
      </c>
      <c r="AZ693" s="23" t="s">
        <v>973</v>
      </c>
      <c r="BA693" s="14" t="s">
        <v>976</v>
      </c>
      <c r="BC693" s="20">
        <f>AW693+AX693</f>
        <v>0</v>
      </c>
      <c r="BD693" s="20">
        <f>H693/(100-BE693)*100</f>
        <v>0</v>
      </c>
      <c r="BE693" s="20">
        <v>0</v>
      </c>
      <c r="BF693" s="20">
        <f>M693</f>
        <v>0</v>
      </c>
      <c r="BH693" s="11">
        <f>G693*AO693</f>
        <v>0</v>
      </c>
      <c r="BI693" s="11">
        <f>G693*AP693</f>
        <v>0</v>
      </c>
      <c r="BJ693" s="11">
        <f>G693*H693</f>
        <v>0</v>
      </c>
      <c r="BK693" s="11" t="s">
        <v>981</v>
      </c>
      <c r="BL693" s="20" t="s">
        <v>325</v>
      </c>
    </row>
    <row r="694" spans="1:64" ht="12.75">
      <c r="A694" s="60" t="s">
        <v>149</v>
      </c>
      <c r="B694" s="5"/>
      <c r="C694" s="5" t="s">
        <v>327</v>
      </c>
      <c r="D694" s="159" t="s">
        <v>738</v>
      </c>
      <c r="E694" s="150"/>
      <c r="F694" s="5" t="s">
        <v>887</v>
      </c>
      <c r="G694" s="11">
        <v>7.29519</v>
      </c>
      <c r="H694" s="103"/>
      <c r="I694" s="11">
        <f>G694*AO694</f>
        <v>0</v>
      </c>
      <c r="J694" s="11">
        <f>G694*AP694</f>
        <v>0</v>
      </c>
      <c r="K694" s="11">
        <f>G694*H694</f>
        <v>0</v>
      </c>
      <c r="L694" s="11">
        <v>0</v>
      </c>
      <c r="M694" s="11">
        <f>G694*L694</f>
        <v>0</v>
      </c>
      <c r="N694" s="15" t="s">
        <v>912</v>
      </c>
      <c r="O694" s="1"/>
      <c r="Z694" s="20">
        <f>IF(AQ694="5",BJ694,0)</f>
        <v>0</v>
      </c>
      <c r="AB694" s="20">
        <f>IF(AQ694="1",BH694,0)</f>
        <v>0</v>
      </c>
      <c r="AC694" s="20">
        <f>IF(AQ694="1",BI694,0)</f>
        <v>0</v>
      </c>
      <c r="AD694" s="20">
        <f>IF(AQ694="7",BH694,0)</f>
        <v>0</v>
      </c>
      <c r="AE694" s="20">
        <f>IF(AQ694="7",BI694,0)</f>
        <v>0</v>
      </c>
      <c r="AF694" s="20">
        <f>IF(AQ694="2",BH694,0)</f>
        <v>0</v>
      </c>
      <c r="AG694" s="20">
        <f>IF(AQ694="2",BI694,0)</f>
        <v>0</v>
      </c>
      <c r="AH694" s="20">
        <f>IF(AQ694="0",BJ694,0)</f>
        <v>0</v>
      </c>
      <c r="AI694" s="14"/>
      <c r="AJ694" s="11">
        <f>IF(AN694=0,K694,0)</f>
        <v>0</v>
      </c>
      <c r="AK694" s="11">
        <f>IF(AN694=15,K694,0)</f>
        <v>0</v>
      </c>
      <c r="AL694" s="11">
        <f>IF(AN694=21,K694,0)</f>
        <v>0</v>
      </c>
      <c r="AN694" s="20">
        <v>21</v>
      </c>
      <c r="AO694" s="20">
        <f>H694*0</f>
        <v>0</v>
      </c>
      <c r="AP694" s="20">
        <f>H694*(1-0)</f>
        <v>0</v>
      </c>
      <c r="AQ694" s="21" t="s">
        <v>11</v>
      </c>
      <c r="AV694" s="20">
        <f>AW694+AX694</f>
        <v>0</v>
      </c>
      <c r="AW694" s="20">
        <f>G694*AO694</f>
        <v>0</v>
      </c>
      <c r="AX694" s="20">
        <f>G694*AP694</f>
        <v>0</v>
      </c>
      <c r="AY694" s="23" t="s">
        <v>956</v>
      </c>
      <c r="AZ694" s="23" t="s">
        <v>973</v>
      </c>
      <c r="BA694" s="14" t="s">
        <v>976</v>
      </c>
      <c r="BC694" s="20">
        <f>AW694+AX694</f>
        <v>0</v>
      </c>
      <c r="BD694" s="20">
        <f>H694/(100-BE694)*100</f>
        <v>0</v>
      </c>
      <c r="BE694" s="20">
        <v>0</v>
      </c>
      <c r="BF694" s="20">
        <f>M694</f>
        <v>0</v>
      </c>
      <c r="BH694" s="11">
        <f>G694*AO694</f>
        <v>0</v>
      </c>
      <c r="BI694" s="11">
        <f>G694*AP694</f>
        <v>0</v>
      </c>
      <c r="BJ694" s="11">
        <f>G694*H694</f>
        <v>0</v>
      </c>
      <c r="BK694" s="11" t="s">
        <v>981</v>
      </c>
      <c r="BL694" s="20" t="s">
        <v>325</v>
      </c>
    </row>
    <row r="695" spans="1:64" ht="12.75">
      <c r="A695" s="60" t="s">
        <v>150</v>
      </c>
      <c r="B695" s="5"/>
      <c r="C695" s="5" t="s">
        <v>328</v>
      </c>
      <c r="D695" s="159" t="s">
        <v>739</v>
      </c>
      <c r="E695" s="150"/>
      <c r="F695" s="5" t="s">
        <v>887</v>
      </c>
      <c r="G695" s="11">
        <v>6.64424</v>
      </c>
      <c r="H695" s="103"/>
      <c r="I695" s="11">
        <f>G695*AO695</f>
        <v>0</v>
      </c>
      <c r="J695" s="11">
        <f>G695*AP695</f>
        <v>0</v>
      </c>
      <c r="K695" s="11">
        <f>G695*H695</f>
        <v>0</v>
      </c>
      <c r="L695" s="11">
        <v>0</v>
      </c>
      <c r="M695" s="11">
        <f>G695*L695</f>
        <v>0</v>
      </c>
      <c r="N695" s="15" t="s">
        <v>912</v>
      </c>
      <c r="O695" s="1"/>
      <c r="Z695" s="20">
        <f>IF(AQ695="5",BJ695,0)</f>
        <v>0</v>
      </c>
      <c r="AB695" s="20">
        <f>IF(AQ695="1",BH695,0)</f>
        <v>0</v>
      </c>
      <c r="AC695" s="20">
        <f>IF(AQ695="1",BI695,0)</f>
        <v>0</v>
      </c>
      <c r="AD695" s="20">
        <f>IF(AQ695="7",BH695,0)</f>
        <v>0</v>
      </c>
      <c r="AE695" s="20">
        <f>IF(AQ695="7",BI695,0)</f>
        <v>0</v>
      </c>
      <c r="AF695" s="20">
        <f>IF(AQ695="2",BH695,0)</f>
        <v>0</v>
      </c>
      <c r="AG695" s="20">
        <f>IF(AQ695="2",BI695,0)</f>
        <v>0</v>
      </c>
      <c r="AH695" s="20">
        <f>IF(AQ695="0",BJ695,0)</f>
        <v>0</v>
      </c>
      <c r="AI695" s="14"/>
      <c r="AJ695" s="11">
        <f>IF(AN695=0,K695,0)</f>
        <v>0</v>
      </c>
      <c r="AK695" s="11">
        <f>IF(AN695=15,K695,0)</f>
        <v>0</v>
      </c>
      <c r="AL695" s="11">
        <f>IF(AN695=21,K695,0)</f>
        <v>0</v>
      </c>
      <c r="AN695" s="20">
        <v>21</v>
      </c>
      <c r="AO695" s="20">
        <f>H695*0</f>
        <v>0</v>
      </c>
      <c r="AP695" s="20">
        <f>H695*(1-0)</f>
        <v>0</v>
      </c>
      <c r="AQ695" s="21" t="s">
        <v>11</v>
      </c>
      <c r="AV695" s="20">
        <f>AW695+AX695</f>
        <v>0</v>
      </c>
      <c r="AW695" s="20">
        <f>G695*AO695</f>
        <v>0</v>
      </c>
      <c r="AX695" s="20">
        <f>G695*AP695</f>
        <v>0</v>
      </c>
      <c r="AY695" s="23" t="s">
        <v>956</v>
      </c>
      <c r="AZ695" s="23" t="s">
        <v>973</v>
      </c>
      <c r="BA695" s="14" t="s">
        <v>976</v>
      </c>
      <c r="BC695" s="20">
        <f>AW695+AX695</f>
        <v>0</v>
      </c>
      <c r="BD695" s="20">
        <f>H695/(100-BE695)*100</f>
        <v>0</v>
      </c>
      <c r="BE695" s="20">
        <v>0</v>
      </c>
      <c r="BF695" s="20">
        <f>M695</f>
        <v>0</v>
      </c>
      <c r="BH695" s="11">
        <f>G695*AO695</f>
        <v>0</v>
      </c>
      <c r="BI695" s="11">
        <f>G695*AP695</f>
        <v>0</v>
      </c>
      <c r="BJ695" s="11">
        <f>G695*H695</f>
        <v>0</v>
      </c>
      <c r="BK695" s="11" t="s">
        <v>981</v>
      </c>
      <c r="BL695" s="20" t="s">
        <v>325</v>
      </c>
    </row>
    <row r="696" spans="1:15" ht="12.75">
      <c r="A696" s="1"/>
      <c r="D696" s="63" t="s">
        <v>740</v>
      </c>
      <c r="E696" s="63"/>
      <c r="G696" s="12">
        <v>6.64424</v>
      </c>
      <c r="N696" s="16"/>
      <c r="O696" s="1"/>
    </row>
    <row r="697" spans="1:64" ht="12.75">
      <c r="A697" s="60" t="s">
        <v>151</v>
      </c>
      <c r="B697" s="5"/>
      <c r="C697" s="5" t="s">
        <v>329</v>
      </c>
      <c r="D697" s="159" t="s">
        <v>1030</v>
      </c>
      <c r="E697" s="150"/>
      <c r="F697" s="5" t="s">
        <v>887</v>
      </c>
      <c r="G697" s="11">
        <v>107.42</v>
      </c>
      <c r="H697" s="103"/>
      <c r="I697" s="11">
        <f>G697*AO697</f>
        <v>0</v>
      </c>
      <c r="J697" s="11">
        <f>G697*AP697</f>
        <v>0</v>
      </c>
      <c r="K697" s="11">
        <f>G697*H697</f>
        <v>0</v>
      </c>
      <c r="L697" s="11">
        <v>0</v>
      </c>
      <c r="M697" s="11">
        <f>G697*L697</f>
        <v>0</v>
      </c>
      <c r="N697" s="15" t="s">
        <v>912</v>
      </c>
      <c r="O697" s="1"/>
      <c r="Z697" s="20">
        <f>IF(AQ697="5",BJ697,0)</f>
        <v>0</v>
      </c>
      <c r="AB697" s="20">
        <f>IF(AQ697="1",BH697,0)</f>
        <v>0</v>
      </c>
      <c r="AC697" s="20">
        <f>IF(AQ697="1",BI697,0)</f>
        <v>0</v>
      </c>
      <c r="AD697" s="20">
        <f>IF(AQ697="7",BH697,0)</f>
        <v>0</v>
      </c>
      <c r="AE697" s="20">
        <f>IF(AQ697="7",BI697,0)</f>
        <v>0</v>
      </c>
      <c r="AF697" s="20">
        <f>IF(AQ697="2",BH697,0)</f>
        <v>0</v>
      </c>
      <c r="AG697" s="20">
        <f>IF(AQ697="2",BI697,0)</f>
        <v>0</v>
      </c>
      <c r="AH697" s="20">
        <f>IF(AQ697="0",BJ697,0)</f>
        <v>0</v>
      </c>
      <c r="AI697" s="14"/>
      <c r="AJ697" s="11">
        <f>IF(AN697=0,K697,0)</f>
        <v>0</v>
      </c>
      <c r="AK697" s="11">
        <f>IF(AN697=15,K697,0)</f>
        <v>0</v>
      </c>
      <c r="AL697" s="11">
        <f>IF(AN697=21,K697,0)</f>
        <v>0</v>
      </c>
      <c r="AN697" s="20">
        <v>21</v>
      </c>
      <c r="AO697" s="20">
        <f>H697*0</f>
        <v>0</v>
      </c>
      <c r="AP697" s="20">
        <f>H697*(1-0)</f>
        <v>0</v>
      </c>
      <c r="AQ697" s="21" t="s">
        <v>11</v>
      </c>
      <c r="AV697" s="20">
        <f>AW697+AX697</f>
        <v>0</v>
      </c>
      <c r="AW697" s="20">
        <f>G697*AO697</f>
        <v>0</v>
      </c>
      <c r="AX697" s="20">
        <f>G697*AP697</f>
        <v>0</v>
      </c>
      <c r="AY697" s="23" t="s">
        <v>956</v>
      </c>
      <c r="AZ697" s="23" t="s">
        <v>973</v>
      </c>
      <c r="BA697" s="14" t="s">
        <v>976</v>
      </c>
      <c r="BC697" s="20">
        <f>AW697+AX697</f>
        <v>0</v>
      </c>
      <c r="BD697" s="20">
        <f>H697/(100-BE697)*100</f>
        <v>0</v>
      </c>
      <c r="BE697" s="20">
        <v>0</v>
      </c>
      <c r="BF697" s="20">
        <f>M697</f>
        <v>0</v>
      </c>
      <c r="BH697" s="11">
        <f>G697*AO697</f>
        <v>0</v>
      </c>
      <c r="BI697" s="11">
        <f>G697*AP697</f>
        <v>0</v>
      </c>
      <c r="BJ697" s="11">
        <f>G697*H697</f>
        <v>0</v>
      </c>
      <c r="BK697" s="11" t="s">
        <v>981</v>
      </c>
      <c r="BL697" s="20" t="s">
        <v>325</v>
      </c>
    </row>
    <row r="698" spans="1:64" ht="12.75">
      <c r="A698" s="60" t="s">
        <v>152</v>
      </c>
      <c r="B698" s="5"/>
      <c r="C698" s="5" t="s">
        <v>330</v>
      </c>
      <c r="D698" s="159" t="s">
        <v>741</v>
      </c>
      <c r="E698" s="150"/>
      <c r="F698" s="5" t="s">
        <v>887</v>
      </c>
      <c r="G698" s="11">
        <v>107.42</v>
      </c>
      <c r="H698" s="103"/>
      <c r="I698" s="11">
        <f>G698*AO698</f>
        <v>0</v>
      </c>
      <c r="J698" s="11">
        <f>G698*AP698</f>
        <v>0</v>
      </c>
      <c r="K698" s="11">
        <f>G698*H698</f>
        <v>0</v>
      </c>
      <c r="L698" s="11">
        <v>0</v>
      </c>
      <c r="M698" s="11">
        <f>G698*L698</f>
        <v>0</v>
      </c>
      <c r="N698" s="15" t="s">
        <v>912</v>
      </c>
      <c r="O698" s="1"/>
      <c r="Z698" s="20">
        <f>IF(AQ698="5",BJ698,0)</f>
        <v>0</v>
      </c>
      <c r="AB698" s="20">
        <f>IF(AQ698="1",BH698,0)</f>
        <v>0</v>
      </c>
      <c r="AC698" s="20">
        <f>IF(AQ698="1",BI698,0)</f>
        <v>0</v>
      </c>
      <c r="AD698" s="20">
        <f>IF(AQ698="7",BH698,0)</f>
        <v>0</v>
      </c>
      <c r="AE698" s="20">
        <f>IF(AQ698="7",BI698,0)</f>
        <v>0</v>
      </c>
      <c r="AF698" s="20">
        <f>IF(AQ698="2",BH698,0)</f>
        <v>0</v>
      </c>
      <c r="AG698" s="20">
        <f>IF(AQ698="2",BI698,0)</f>
        <v>0</v>
      </c>
      <c r="AH698" s="20">
        <f>IF(AQ698="0",BJ698,0)</f>
        <v>0</v>
      </c>
      <c r="AI698" s="14"/>
      <c r="AJ698" s="11">
        <f>IF(AN698=0,K698,0)</f>
        <v>0</v>
      </c>
      <c r="AK698" s="11">
        <f>IF(AN698=15,K698,0)</f>
        <v>0</v>
      </c>
      <c r="AL698" s="11">
        <f>IF(AN698=21,K698,0)</f>
        <v>0</v>
      </c>
      <c r="AN698" s="20">
        <v>21</v>
      </c>
      <c r="AO698" s="20">
        <f>H698*0</f>
        <v>0</v>
      </c>
      <c r="AP698" s="20">
        <f>H698*(1-0)</f>
        <v>0</v>
      </c>
      <c r="AQ698" s="21" t="s">
        <v>11</v>
      </c>
      <c r="AV698" s="20">
        <f>AW698+AX698</f>
        <v>0</v>
      </c>
      <c r="AW698" s="20">
        <f>G698*AO698</f>
        <v>0</v>
      </c>
      <c r="AX698" s="20">
        <f>G698*AP698</f>
        <v>0</v>
      </c>
      <c r="AY698" s="23" t="s">
        <v>956</v>
      </c>
      <c r="AZ698" s="23" t="s">
        <v>973</v>
      </c>
      <c r="BA698" s="14" t="s">
        <v>976</v>
      </c>
      <c r="BC698" s="20">
        <f>AW698+AX698</f>
        <v>0</v>
      </c>
      <c r="BD698" s="20">
        <f>H698/(100-BE698)*100</f>
        <v>0</v>
      </c>
      <c r="BE698" s="20">
        <v>0</v>
      </c>
      <c r="BF698" s="20">
        <f>M698</f>
        <v>0</v>
      </c>
      <c r="BH698" s="11">
        <f>G698*AO698</f>
        <v>0</v>
      </c>
      <c r="BI698" s="11">
        <f>G698*AP698</f>
        <v>0</v>
      </c>
      <c r="BJ698" s="11">
        <f>G698*H698</f>
        <v>0</v>
      </c>
      <c r="BK698" s="11" t="s">
        <v>981</v>
      </c>
      <c r="BL698" s="20" t="s">
        <v>325</v>
      </c>
    </row>
    <row r="699" spans="1:64" ht="12.75">
      <c r="A699" s="60" t="s">
        <v>153</v>
      </c>
      <c r="B699" s="5"/>
      <c r="C699" s="5" t="s">
        <v>331</v>
      </c>
      <c r="D699" s="159" t="s">
        <v>742</v>
      </c>
      <c r="E699" s="150"/>
      <c r="F699" s="5" t="s">
        <v>887</v>
      </c>
      <c r="G699" s="11">
        <v>77.52</v>
      </c>
      <c r="H699" s="103"/>
      <c r="I699" s="11">
        <f>G699*AO699</f>
        <v>0</v>
      </c>
      <c r="J699" s="11">
        <f>G699*AP699</f>
        <v>0</v>
      </c>
      <c r="K699" s="11">
        <f>G699*H699</f>
        <v>0</v>
      </c>
      <c r="L699" s="11">
        <v>0</v>
      </c>
      <c r="M699" s="11">
        <f>G699*L699</f>
        <v>0</v>
      </c>
      <c r="N699" s="15" t="s">
        <v>912</v>
      </c>
      <c r="O699" s="1"/>
      <c r="Z699" s="20">
        <f>IF(AQ699="5",BJ699,0)</f>
        <v>0</v>
      </c>
      <c r="AB699" s="20">
        <f>IF(AQ699="1",BH699,0)</f>
        <v>0</v>
      </c>
      <c r="AC699" s="20">
        <f>IF(AQ699="1",BI699,0)</f>
        <v>0</v>
      </c>
      <c r="AD699" s="20">
        <f>IF(AQ699="7",BH699,0)</f>
        <v>0</v>
      </c>
      <c r="AE699" s="20">
        <f>IF(AQ699="7",BI699,0)</f>
        <v>0</v>
      </c>
      <c r="AF699" s="20">
        <f>IF(AQ699="2",BH699,0)</f>
        <v>0</v>
      </c>
      <c r="AG699" s="20">
        <f>IF(AQ699="2",BI699,0)</f>
        <v>0</v>
      </c>
      <c r="AH699" s="20">
        <f>IF(AQ699="0",BJ699,0)</f>
        <v>0</v>
      </c>
      <c r="AI699" s="14"/>
      <c r="AJ699" s="11">
        <f>IF(AN699=0,K699,0)</f>
        <v>0</v>
      </c>
      <c r="AK699" s="11">
        <f>IF(AN699=15,K699,0)</f>
        <v>0</v>
      </c>
      <c r="AL699" s="11">
        <f>IF(AN699=21,K699,0)</f>
        <v>0</v>
      </c>
      <c r="AN699" s="20">
        <v>21</v>
      </c>
      <c r="AO699" s="20">
        <f>H699*0</f>
        <v>0</v>
      </c>
      <c r="AP699" s="20">
        <f>H699*(1-0)</f>
        <v>0</v>
      </c>
      <c r="AQ699" s="21" t="s">
        <v>11</v>
      </c>
      <c r="AV699" s="20">
        <f>AW699+AX699</f>
        <v>0</v>
      </c>
      <c r="AW699" s="20">
        <f>G699*AO699</f>
        <v>0</v>
      </c>
      <c r="AX699" s="20">
        <f>G699*AP699</f>
        <v>0</v>
      </c>
      <c r="AY699" s="23" t="s">
        <v>956</v>
      </c>
      <c r="AZ699" s="23" t="s">
        <v>973</v>
      </c>
      <c r="BA699" s="14" t="s">
        <v>976</v>
      </c>
      <c r="BC699" s="20">
        <f>AW699+AX699</f>
        <v>0</v>
      </c>
      <c r="BD699" s="20">
        <f>H699/(100-BE699)*100</f>
        <v>0</v>
      </c>
      <c r="BE699" s="20">
        <v>0</v>
      </c>
      <c r="BF699" s="20">
        <f>M699</f>
        <v>0</v>
      </c>
      <c r="BH699" s="11">
        <f>G699*AO699</f>
        <v>0</v>
      </c>
      <c r="BI699" s="11">
        <f>G699*AP699</f>
        <v>0</v>
      </c>
      <c r="BJ699" s="11">
        <f>G699*H699</f>
        <v>0</v>
      </c>
      <c r="BK699" s="11" t="s">
        <v>981</v>
      </c>
      <c r="BL699" s="20" t="s">
        <v>325</v>
      </c>
    </row>
    <row r="700" spans="1:64" ht="12.75">
      <c r="A700" s="60" t="s">
        <v>154</v>
      </c>
      <c r="B700" s="5"/>
      <c r="C700" s="5" t="s">
        <v>332</v>
      </c>
      <c r="D700" s="159" t="s">
        <v>743</v>
      </c>
      <c r="E700" s="150"/>
      <c r="F700" s="5" t="s">
        <v>887</v>
      </c>
      <c r="G700" s="11">
        <v>3410.88</v>
      </c>
      <c r="H700" s="103"/>
      <c r="I700" s="11">
        <f>G700*AO700</f>
        <v>0</v>
      </c>
      <c r="J700" s="11">
        <f>G700*AP700</f>
        <v>0</v>
      </c>
      <c r="K700" s="11">
        <f>G700*H700</f>
        <v>0</v>
      </c>
      <c r="L700" s="11">
        <v>0</v>
      </c>
      <c r="M700" s="11">
        <f>G700*L700</f>
        <v>0</v>
      </c>
      <c r="N700" s="15" t="s">
        <v>912</v>
      </c>
      <c r="O700" s="1"/>
      <c r="Z700" s="20">
        <f>IF(AQ700="5",BJ700,0)</f>
        <v>0</v>
      </c>
      <c r="AB700" s="20">
        <f>IF(AQ700="1",BH700,0)</f>
        <v>0</v>
      </c>
      <c r="AC700" s="20">
        <f>IF(AQ700="1",BI700,0)</f>
        <v>0</v>
      </c>
      <c r="AD700" s="20">
        <f>IF(AQ700="7",BH700,0)</f>
        <v>0</v>
      </c>
      <c r="AE700" s="20">
        <f>IF(AQ700="7",BI700,0)</f>
        <v>0</v>
      </c>
      <c r="AF700" s="20">
        <f>IF(AQ700="2",BH700,0)</f>
        <v>0</v>
      </c>
      <c r="AG700" s="20">
        <f>IF(AQ700="2",BI700,0)</f>
        <v>0</v>
      </c>
      <c r="AH700" s="20">
        <f>IF(AQ700="0",BJ700,0)</f>
        <v>0</v>
      </c>
      <c r="AI700" s="14"/>
      <c r="AJ700" s="11">
        <f>IF(AN700=0,K700,0)</f>
        <v>0</v>
      </c>
      <c r="AK700" s="11">
        <f>IF(AN700=15,K700,0)</f>
        <v>0</v>
      </c>
      <c r="AL700" s="11">
        <f>IF(AN700=21,K700,0)</f>
        <v>0</v>
      </c>
      <c r="AN700" s="20">
        <v>21</v>
      </c>
      <c r="AO700" s="20">
        <f>H700*0</f>
        <v>0</v>
      </c>
      <c r="AP700" s="20">
        <f>H700*(1-0)</f>
        <v>0</v>
      </c>
      <c r="AQ700" s="21" t="s">
        <v>11</v>
      </c>
      <c r="AV700" s="20">
        <f>AW700+AX700</f>
        <v>0</v>
      </c>
      <c r="AW700" s="20">
        <f>G700*AO700</f>
        <v>0</v>
      </c>
      <c r="AX700" s="20">
        <f>G700*AP700</f>
        <v>0</v>
      </c>
      <c r="AY700" s="23" t="s">
        <v>956</v>
      </c>
      <c r="AZ700" s="23" t="s">
        <v>973</v>
      </c>
      <c r="BA700" s="14" t="s">
        <v>976</v>
      </c>
      <c r="BC700" s="20">
        <f>AW700+AX700</f>
        <v>0</v>
      </c>
      <c r="BD700" s="20">
        <f>H700/(100-BE700)*100</f>
        <v>0</v>
      </c>
      <c r="BE700" s="20">
        <v>0</v>
      </c>
      <c r="BF700" s="20">
        <f>M700</f>
        <v>0</v>
      </c>
      <c r="BH700" s="11">
        <f>G700*AO700</f>
        <v>0</v>
      </c>
      <c r="BI700" s="11">
        <f>G700*AP700</f>
        <v>0</v>
      </c>
      <c r="BJ700" s="11">
        <f>G700*H700</f>
        <v>0</v>
      </c>
      <c r="BK700" s="11" t="s">
        <v>981</v>
      </c>
      <c r="BL700" s="20" t="s">
        <v>325</v>
      </c>
    </row>
    <row r="701" spans="1:15" ht="12.75">
      <c r="A701" s="1"/>
      <c r="D701" s="63" t="s">
        <v>1043</v>
      </c>
      <c r="E701" s="63" t="s">
        <v>775</v>
      </c>
      <c r="G701" s="12">
        <v>3410.88</v>
      </c>
      <c r="N701" s="16"/>
      <c r="O701" s="1"/>
    </row>
    <row r="702" spans="1:64" ht="12.75">
      <c r="A702" s="60" t="s">
        <v>155</v>
      </c>
      <c r="B702" s="5"/>
      <c r="C702" s="5" t="s">
        <v>333</v>
      </c>
      <c r="D702" s="159" t="s">
        <v>744</v>
      </c>
      <c r="E702" s="150"/>
      <c r="F702" s="5" t="s">
        <v>887</v>
      </c>
      <c r="G702" s="11">
        <v>77.52</v>
      </c>
      <c r="H702" s="103"/>
      <c r="I702" s="11">
        <f>G702*AO702</f>
        <v>0</v>
      </c>
      <c r="J702" s="11">
        <f>G702*AP702</f>
        <v>0</v>
      </c>
      <c r="K702" s="11">
        <f>G702*H702</f>
        <v>0</v>
      </c>
      <c r="L702" s="11">
        <v>0</v>
      </c>
      <c r="M702" s="11">
        <f>G702*L702</f>
        <v>0</v>
      </c>
      <c r="N702" s="15" t="s">
        <v>912</v>
      </c>
      <c r="O702" s="1"/>
      <c r="Z702" s="20">
        <f>IF(AQ702="5",BJ702,0)</f>
        <v>0</v>
      </c>
      <c r="AB702" s="20">
        <f>IF(AQ702="1",BH702,0)</f>
        <v>0</v>
      </c>
      <c r="AC702" s="20">
        <f>IF(AQ702="1",BI702,0)</f>
        <v>0</v>
      </c>
      <c r="AD702" s="20">
        <f>IF(AQ702="7",BH702,0)</f>
        <v>0</v>
      </c>
      <c r="AE702" s="20">
        <f>IF(AQ702="7",BI702,0)</f>
        <v>0</v>
      </c>
      <c r="AF702" s="20">
        <f>IF(AQ702="2",BH702,0)</f>
        <v>0</v>
      </c>
      <c r="AG702" s="20">
        <f>IF(AQ702="2",BI702,0)</f>
        <v>0</v>
      </c>
      <c r="AH702" s="20">
        <f>IF(AQ702="0",BJ702,0)</f>
        <v>0</v>
      </c>
      <c r="AI702" s="14"/>
      <c r="AJ702" s="11">
        <f>IF(AN702=0,K702,0)</f>
        <v>0</v>
      </c>
      <c r="AK702" s="11">
        <f>IF(AN702=15,K702,0)</f>
        <v>0</v>
      </c>
      <c r="AL702" s="11">
        <f>IF(AN702=21,K702,0)</f>
        <v>0</v>
      </c>
      <c r="AN702" s="20">
        <v>21</v>
      </c>
      <c r="AO702" s="20">
        <f>H702*0</f>
        <v>0</v>
      </c>
      <c r="AP702" s="20">
        <f>H702*(1-0)</f>
        <v>0</v>
      </c>
      <c r="AQ702" s="21" t="s">
        <v>11</v>
      </c>
      <c r="AV702" s="20">
        <f>AW702+AX702</f>
        <v>0</v>
      </c>
      <c r="AW702" s="20">
        <f>G702*AO702</f>
        <v>0</v>
      </c>
      <c r="AX702" s="20">
        <f>G702*AP702</f>
        <v>0</v>
      </c>
      <c r="AY702" s="23" t="s">
        <v>956</v>
      </c>
      <c r="AZ702" s="23" t="s">
        <v>973</v>
      </c>
      <c r="BA702" s="14" t="s">
        <v>976</v>
      </c>
      <c r="BC702" s="20">
        <f>AW702+AX702</f>
        <v>0</v>
      </c>
      <c r="BD702" s="20">
        <f>H702/(100-BE702)*100</f>
        <v>0</v>
      </c>
      <c r="BE702" s="20">
        <v>0</v>
      </c>
      <c r="BF702" s="20">
        <f>M702</f>
        <v>0</v>
      </c>
      <c r="BH702" s="11">
        <f>G702*AO702</f>
        <v>0</v>
      </c>
      <c r="BI702" s="11">
        <f>G702*AP702</f>
        <v>0</v>
      </c>
      <c r="BJ702" s="11">
        <f>G702*H702</f>
        <v>0</v>
      </c>
      <c r="BK702" s="11" t="s">
        <v>981</v>
      </c>
      <c r="BL702" s="20" t="s">
        <v>325</v>
      </c>
    </row>
    <row r="703" spans="1:47" ht="12.75">
      <c r="A703" s="2"/>
      <c r="B703" s="6"/>
      <c r="C703" s="6" t="s">
        <v>334</v>
      </c>
      <c r="D703" s="174" t="s">
        <v>745</v>
      </c>
      <c r="E703" s="175"/>
      <c r="F703" s="10" t="s">
        <v>6</v>
      </c>
      <c r="G703" s="10" t="s">
        <v>6</v>
      </c>
      <c r="H703" s="10"/>
      <c r="I703" s="25">
        <f>SUM(I704:I705)</f>
        <v>0</v>
      </c>
      <c r="J703" s="25">
        <f>SUM(J704:J705)</f>
        <v>0</v>
      </c>
      <c r="K703" s="25">
        <f>SUM(K704:K705)</f>
        <v>0</v>
      </c>
      <c r="L703" s="14"/>
      <c r="M703" s="25">
        <f>SUM(M704:M705)</f>
        <v>0</v>
      </c>
      <c r="N703" s="17"/>
      <c r="O703" s="1"/>
      <c r="AI703" s="14"/>
      <c r="AS703" s="25">
        <f>SUM(AJ704:AJ705)</f>
        <v>0</v>
      </c>
      <c r="AT703" s="25">
        <f>SUM(AK704:AK705)</f>
        <v>0</v>
      </c>
      <c r="AU703" s="25">
        <f>SUM(AL704:AL705)</f>
        <v>0</v>
      </c>
    </row>
    <row r="704" spans="1:64" ht="12.75">
      <c r="A704" s="60" t="s">
        <v>156</v>
      </c>
      <c r="B704" s="5"/>
      <c r="C704" s="5" t="s">
        <v>335</v>
      </c>
      <c r="D704" s="176" t="s">
        <v>746</v>
      </c>
      <c r="E704" s="177"/>
      <c r="F704" s="5" t="s">
        <v>885</v>
      </c>
      <c r="G704" s="11">
        <v>1</v>
      </c>
      <c r="H704" s="103"/>
      <c r="I704" s="11">
        <f>G704*AO704</f>
        <v>0</v>
      </c>
      <c r="J704" s="11">
        <f>G704*AP704</f>
        <v>0</v>
      </c>
      <c r="K704" s="11">
        <f>G704*H704</f>
        <v>0</v>
      </c>
      <c r="L704" s="11">
        <v>0</v>
      </c>
      <c r="M704" s="11">
        <f>G704*L704</f>
        <v>0</v>
      </c>
      <c r="N704" s="15" t="s">
        <v>913</v>
      </c>
      <c r="O704" s="1"/>
      <c r="Z704" s="20">
        <f>IF(AQ704="5",BJ704,0)</f>
        <v>0</v>
      </c>
      <c r="AB704" s="20">
        <f>IF(AQ704="1",BH704,0)</f>
        <v>0</v>
      </c>
      <c r="AC704" s="20">
        <f>IF(AQ704="1",BI704,0)</f>
        <v>0</v>
      </c>
      <c r="AD704" s="20">
        <f>IF(AQ704="7",BH704,0)</f>
        <v>0</v>
      </c>
      <c r="AE704" s="20">
        <f>IF(AQ704="7",BI704,0)</f>
        <v>0</v>
      </c>
      <c r="AF704" s="20">
        <f>IF(AQ704="2",BH704,0)</f>
        <v>0</v>
      </c>
      <c r="AG704" s="20">
        <f>IF(AQ704="2",BI704,0)</f>
        <v>0</v>
      </c>
      <c r="AH704" s="20">
        <f>IF(AQ704="0",BJ704,0)</f>
        <v>0</v>
      </c>
      <c r="AI704" s="14"/>
      <c r="AJ704" s="11">
        <f>IF(AN704=0,K704,0)</f>
        <v>0</v>
      </c>
      <c r="AK704" s="11">
        <f>IF(AN704=15,K704,0)</f>
        <v>0</v>
      </c>
      <c r="AL704" s="11">
        <f>IF(AN704=21,K704,0)</f>
        <v>0</v>
      </c>
      <c r="AN704" s="20">
        <v>21</v>
      </c>
      <c r="AO704" s="20">
        <f>H704*0.0666666666666667</f>
        <v>0</v>
      </c>
      <c r="AP704" s="20">
        <f>H704*(1-0.0666666666666667)</f>
        <v>0</v>
      </c>
      <c r="AQ704" s="21" t="s">
        <v>7</v>
      </c>
      <c r="AV704" s="20">
        <f>AW704+AX704</f>
        <v>0</v>
      </c>
      <c r="AW704" s="20">
        <f>G704*AO704</f>
        <v>0</v>
      </c>
      <c r="AX704" s="20">
        <f>G704*AP704</f>
        <v>0</v>
      </c>
      <c r="AY704" s="23" t="s">
        <v>957</v>
      </c>
      <c r="AZ704" s="23" t="s">
        <v>974</v>
      </c>
      <c r="BA704" s="14" t="s">
        <v>976</v>
      </c>
      <c r="BC704" s="20">
        <f>AW704+AX704</f>
        <v>0</v>
      </c>
      <c r="BD704" s="20">
        <f>H704/(100-BE704)*100</f>
        <v>0</v>
      </c>
      <c r="BE704" s="20">
        <v>0</v>
      </c>
      <c r="BF704" s="20">
        <f>M704</f>
        <v>0</v>
      </c>
      <c r="BH704" s="11">
        <f>G704*AO704</f>
        <v>0</v>
      </c>
      <c r="BI704" s="11">
        <f>G704*AP704</f>
        <v>0</v>
      </c>
      <c r="BJ704" s="11">
        <f>G704*H704</f>
        <v>0</v>
      </c>
      <c r="BK704" s="11" t="s">
        <v>981</v>
      </c>
      <c r="BL704" s="20" t="s">
        <v>334</v>
      </c>
    </row>
    <row r="705" spans="1:64" ht="12.75">
      <c r="A705" s="60" t="s">
        <v>157</v>
      </c>
      <c r="B705" s="5"/>
      <c r="C705" s="5" t="s">
        <v>336</v>
      </c>
      <c r="D705" s="176" t="s">
        <v>747</v>
      </c>
      <c r="E705" s="177"/>
      <c r="F705" s="5" t="s">
        <v>888</v>
      </c>
      <c r="G705" s="11">
        <v>1</v>
      </c>
      <c r="H705" s="103"/>
      <c r="I705" s="11">
        <f>G705*AO705</f>
        <v>0</v>
      </c>
      <c r="J705" s="11">
        <f>G705*AP705</f>
        <v>0</v>
      </c>
      <c r="K705" s="11">
        <f>G705*H705</f>
        <v>0</v>
      </c>
      <c r="L705" s="11">
        <v>0</v>
      </c>
      <c r="M705" s="11">
        <f>G705*L705</f>
        <v>0</v>
      </c>
      <c r="N705" s="15" t="s">
        <v>913</v>
      </c>
      <c r="O705" s="1"/>
      <c r="Z705" s="20">
        <f>IF(AQ705="5",BJ705,0)</f>
        <v>0</v>
      </c>
      <c r="AB705" s="20">
        <f>IF(AQ705="1",BH705,0)</f>
        <v>0</v>
      </c>
      <c r="AC705" s="20">
        <f>IF(AQ705="1",BI705,0)</f>
        <v>0</v>
      </c>
      <c r="AD705" s="20">
        <f>IF(AQ705="7",BH705,0)</f>
        <v>0</v>
      </c>
      <c r="AE705" s="20">
        <f>IF(AQ705="7",BI705,0)</f>
        <v>0</v>
      </c>
      <c r="AF705" s="20">
        <f>IF(AQ705="2",BH705,0)</f>
        <v>0</v>
      </c>
      <c r="AG705" s="20">
        <f>IF(AQ705="2",BI705,0)</f>
        <v>0</v>
      </c>
      <c r="AH705" s="20">
        <f>IF(AQ705="0",BJ705,0)</f>
        <v>0</v>
      </c>
      <c r="AI705" s="14"/>
      <c r="AJ705" s="11">
        <f>IF(AN705=0,K705,0)</f>
        <v>0</v>
      </c>
      <c r="AK705" s="11">
        <f>IF(AN705=15,K705,0)</f>
        <v>0</v>
      </c>
      <c r="AL705" s="11">
        <f>IF(AN705=21,K705,0)</f>
        <v>0</v>
      </c>
      <c r="AN705" s="20">
        <v>21</v>
      </c>
      <c r="AO705" s="20">
        <f>H705*0.1</f>
        <v>0</v>
      </c>
      <c r="AP705" s="20">
        <f>H705*(1-0.1)</f>
        <v>0</v>
      </c>
      <c r="AQ705" s="21" t="s">
        <v>7</v>
      </c>
      <c r="AV705" s="20">
        <f>AW705+AX705</f>
        <v>0</v>
      </c>
      <c r="AW705" s="20">
        <f>G705*AO705</f>
        <v>0</v>
      </c>
      <c r="AX705" s="20">
        <f>G705*AP705</f>
        <v>0</v>
      </c>
      <c r="AY705" s="23" t="s">
        <v>957</v>
      </c>
      <c r="AZ705" s="23" t="s">
        <v>974</v>
      </c>
      <c r="BA705" s="14" t="s">
        <v>976</v>
      </c>
      <c r="BC705" s="20">
        <f>AW705+AX705</f>
        <v>0</v>
      </c>
      <c r="BD705" s="20">
        <f>H705/(100-BE705)*100</f>
        <v>0</v>
      </c>
      <c r="BE705" s="20">
        <v>0</v>
      </c>
      <c r="BF705" s="20">
        <f>M705</f>
        <v>0</v>
      </c>
      <c r="BH705" s="11">
        <f>G705*AO705</f>
        <v>0</v>
      </c>
      <c r="BI705" s="11">
        <f>G705*AP705</f>
        <v>0</v>
      </c>
      <c r="BJ705" s="11">
        <f>G705*H705</f>
        <v>0</v>
      </c>
      <c r="BK705" s="11" t="s">
        <v>981</v>
      </c>
      <c r="BL705" s="20" t="s">
        <v>334</v>
      </c>
    </row>
    <row r="706" spans="1:35" ht="12.75">
      <c r="A706" s="2"/>
      <c r="B706" s="6"/>
      <c r="C706" s="6"/>
      <c r="D706" s="174" t="s">
        <v>748</v>
      </c>
      <c r="E706" s="175"/>
      <c r="F706" s="10" t="s">
        <v>6</v>
      </c>
      <c r="G706" s="10" t="s">
        <v>6</v>
      </c>
      <c r="H706" s="10"/>
      <c r="I706" s="25">
        <f>I707+I709+I712+I715+I717</f>
        <v>0</v>
      </c>
      <c r="J706" s="25">
        <f>J707+J709+J712+J715+J717</f>
        <v>0</v>
      </c>
      <c r="K706" s="25">
        <f>K707+K709+K712+K715+K717</f>
        <v>0</v>
      </c>
      <c r="L706" s="14"/>
      <c r="M706" s="25">
        <f>M707+M709+M712+M715+M717</f>
        <v>0.1</v>
      </c>
      <c r="N706" s="17"/>
      <c r="O706" s="1"/>
      <c r="AI706" s="14"/>
    </row>
    <row r="707" spans="1:47" ht="12.75">
      <c r="A707" s="2"/>
      <c r="B707" s="6"/>
      <c r="C707" s="6" t="s">
        <v>337</v>
      </c>
      <c r="D707" s="174" t="s">
        <v>749</v>
      </c>
      <c r="E707" s="175"/>
      <c r="F707" s="10" t="s">
        <v>6</v>
      </c>
      <c r="G707" s="10" t="s">
        <v>6</v>
      </c>
      <c r="H707" s="10"/>
      <c r="I707" s="25">
        <f>SUM(I708:I708)</f>
        <v>0</v>
      </c>
      <c r="J707" s="25">
        <f>SUM(J708:J708)</f>
        <v>0</v>
      </c>
      <c r="K707" s="25">
        <f>SUM(K708:K708)</f>
        <v>0</v>
      </c>
      <c r="L707" s="14"/>
      <c r="M707" s="25">
        <f>SUM(M708:M708)</f>
        <v>0</v>
      </c>
      <c r="N707" s="17"/>
      <c r="O707" s="1"/>
      <c r="AI707" s="14"/>
      <c r="AS707" s="25">
        <f>SUM(AJ708:AJ708)</f>
        <v>0</v>
      </c>
      <c r="AT707" s="25">
        <f>SUM(AK708:AK708)</f>
        <v>0</v>
      </c>
      <c r="AU707" s="25">
        <f>SUM(AL708:AL708)</f>
        <v>0</v>
      </c>
    </row>
    <row r="708" spans="1:64" ht="12.75">
      <c r="A708" s="60" t="s">
        <v>158</v>
      </c>
      <c r="B708" s="5"/>
      <c r="C708" s="5" t="s">
        <v>338</v>
      </c>
      <c r="D708" s="176" t="s">
        <v>750</v>
      </c>
      <c r="E708" s="177"/>
      <c r="F708" s="5" t="s">
        <v>885</v>
      </c>
      <c r="G708" s="11">
        <v>1</v>
      </c>
      <c r="H708" s="103"/>
      <c r="I708" s="11">
        <f>G708*AO708</f>
        <v>0</v>
      </c>
      <c r="J708" s="11">
        <f>G708*AP708</f>
        <v>0</v>
      </c>
      <c r="K708" s="11">
        <f>G708*H708</f>
        <v>0</v>
      </c>
      <c r="L708" s="11">
        <v>0</v>
      </c>
      <c r="M708" s="11">
        <f>G708*L708</f>
        <v>0</v>
      </c>
      <c r="N708" s="15" t="s">
        <v>913</v>
      </c>
      <c r="O708" s="1"/>
      <c r="Z708" s="20">
        <f>IF(AQ708="5",BJ708,0)</f>
        <v>0</v>
      </c>
      <c r="AB708" s="20">
        <f>IF(AQ708="1",BH708,0)</f>
        <v>0</v>
      </c>
      <c r="AC708" s="20">
        <f>IF(AQ708="1",BI708,0)</f>
        <v>0</v>
      </c>
      <c r="AD708" s="20">
        <f>IF(AQ708="7",BH708,0)</f>
        <v>0</v>
      </c>
      <c r="AE708" s="20">
        <f>IF(AQ708="7",BI708,0)</f>
        <v>0</v>
      </c>
      <c r="AF708" s="20">
        <f>IF(AQ708="2",BH708,0)</f>
        <v>0</v>
      </c>
      <c r="AG708" s="20">
        <f>IF(AQ708="2",BI708,0)</f>
        <v>0</v>
      </c>
      <c r="AH708" s="20">
        <f>IF(AQ708="0",BJ708,0)</f>
        <v>0</v>
      </c>
      <c r="AI708" s="14"/>
      <c r="AJ708" s="11">
        <f>IF(AN708=0,K708,0)</f>
        <v>0</v>
      </c>
      <c r="AK708" s="11">
        <f>IF(AN708=15,K708,0)</f>
        <v>0</v>
      </c>
      <c r="AL708" s="11">
        <f>IF(AN708=21,K708,0)</f>
        <v>0</v>
      </c>
      <c r="AN708" s="20">
        <v>21</v>
      </c>
      <c r="AO708" s="20">
        <f>H708*0.166666666666667</f>
        <v>0</v>
      </c>
      <c r="AP708" s="20">
        <f>H708*(1-0.166666666666667)</f>
        <v>0</v>
      </c>
      <c r="AQ708" s="21" t="s">
        <v>104</v>
      </c>
      <c r="AV708" s="20">
        <f>AW708+AX708</f>
        <v>0</v>
      </c>
      <c r="AW708" s="20">
        <f>G708*AO708</f>
        <v>0</v>
      </c>
      <c r="AX708" s="20">
        <f>G708*AP708</f>
        <v>0</v>
      </c>
      <c r="AY708" s="23" t="s">
        <v>958</v>
      </c>
      <c r="AZ708" s="23" t="s">
        <v>975</v>
      </c>
      <c r="BA708" s="14" t="s">
        <v>976</v>
      </c>
      <c r="BC708" s="20">
        <f>AW708+AX708</f>
        <v>0</v>
      </c>
      <c r="BD708" s="20">
        <f>H708/(100-BE708)*100</f>
        <v>0</v>
      </c>
      <c r="BE708" s="20">
        <v>0</v>
      </c>
      <c r="BF708" s="20">
        <f>M708</f>
        <v>0</v>
      </c>
      <c r="BH708" s="11">
        <f>G708*AO708</f>
        <v>0</v>
      </c>
      <c r="BI708" s="11">
        <f>G708*AP708</f>
        <v>0</v>
      </c>
      <c r="BJ708" s="11">
        <f>G708*H708</f>
        <v>0</v>
      </c>
      <c r="BK708" s="11" t="s">
        <v>981</v>
      </c>
      <c r="BL708" s="20" t="s">
        <v>337</v>
      </c>
    </row>
    <row r="709" spans="1:47" ht="12.75">
      <c r="A709" s="2"/>
      <c r="B709" s="6"/>
      <c r="C709" s="6" t="s">
        <v>339</v>
      </c>
      <c r="D709" s="174" t="s">
        <v>751</v>
      </c>
      <c r="E709" s="175"/>
      <c r="F709" s="10" t="s">
        <v>6</v>
      </c>
      <c r="G709" s="10" t="s">
        <v>6</v>
      </c>
      <c r="H709" s="10"/>
      <c r="I709" s="25">
        <f>SUM(I710:I711)</f>
        <v>0</v>
      </c>
      <c r="J709" s="25">
        <f>SUM(J710:J711)</f>
        <v>0</v>
      </c>
      <c r="K709" s="25">
        <f>SUM(K710:K711)</f>
        <v>0</v>
      </c>
      <c r="L709" s="14"/>
      <c r="M709" s="25">
        <f>SUM(M710:M711)</f>
        <v>0</v>
      </c>
      <c r="N709" s="17"/>
      <c r="O709" s="1"/>
      <c r="AI709" s="14"/>
      <c r="AS709" s="25">
        <f>SUM(AJ710:AJ711)</f>
        <v>0</v>
      </c>
      <c r="AT709" s="25">
        <f>SUM(AK710:AK711)</f>
        <v>0</v>
      </c>
      <c r="AU709" s="25">
        <f>SUM(AL710:AL711)</f>
        <v>0</v>
      </c>
    </row>
    <row r="710" spans="1:64" ht="12.75">
      <c r="A710" s="60" t="s">
        <v>159</v>
      </c>
      <c r="B710" s="5"/>
      <c r="C710" s="5" t="s">
        <v>340</v>
      </c>
      <c r="D710" s="176" t="s">
        <v>751</v>
      </c>
      <c r="E710" s="177"/>
      <c r="F710" s="5" t="s">
        <v>885</v>
      </c>
      <c r="G710" s="11">
        <v>1</v>
      </c>
      <c r="H710" s="103"/>
      <c r="I710" s="11">
        <f>G710*AO710</f>
        <v>0</v>
      </c>
      <c r="J710" s="11">
        <f>G710*AP710</f>
        <v>0</v>
      </c>
      <c r="K710" s="11">
        <f>G710*H710</f>
        <v>0</v>
      </c>
      <c r="L710" s="11">
        <v>0</v>
      </c>
      <c r="M710" s="11">
        <f>G710*L710</f>
        <v>0</v>
      </c>
      <c r="N710" s="15" t="s">
        <v>913</v>
      </c>
      <c r="O710" s="1"/>
      <c r="Z710" s="20">
        <f>IF(AQ710="5",BJ710,0)</f>
        <v>0</v>
      </c>
      <c r="AB710" s="20">
        <f>IF(AQ710="1",BH710,0)</f>
        <v>0</v>
      </c>
      <c r="AC710" s="20">
        <f>IF(AQ710="1",BI710,0)</f>
        <v>0</v>
      </c>
      <c r="AD710" s="20">
        <f>IF(AQ710="7",BH710,0)</f>
        <v>0</v>
      </c>
      <c r="AE710" s="20">
        <f>IF(AQ710="7",BI710,0)</f>
        <v>0</v>
      </c>
      <c r="AF710" s="20">
        <f>IF(AQ710="2",BH710,0)</f>
        <v>0</v>
      </c>
      <c r="AG710" s="20">
        <f>IF(AQ710="2",BI710,0)</f>
        <v>0</v>
      </c>
      <c r="AH710" s="20">
        <f>IF(AQ710="0",BJ710,0)</f>
        <v>0</v>
      </c>
      <c r="AI710" s="14"/>
      <c r="AJ710" s="11">
        <f>IF(AN710=0,K710,0)</f>
        <v>0</v>
      </c>
      <c r="AK710" s="11">
        <f>IF(AN710=15,K710,0)</f>
        <v>0</v>
      </c>
      <c r="AL710" s="11">
        <f>IF(AN710=21,K710,0)</f>
        <v>0</v>
      </c>
      <c r="AN710" s="20">
        <v>21</v>
      </c>
      <c r="AO710" s="20">
        <f>H710*0.25</f>
        <v>0</v>
      </c>
      <c r="AP710" s="20">
        <f>H710*(1-0.25)</f>
        <v>0</v>
      </c>
      <c r="AQ710" s="21" t="s">
        <v>104</v>
      </c>
      <c r="AV710" s="20">
        <f>AW710+AX710</f>
        <v>0</v>
      </c>
      <c r="AW710" s="20">
        <f>G710*AO710</f>
        <v>0</v>
      </c>
      <c r="AX710" s="20">
        <f>G710*AP710</f>
        <v>0</v>
      </c>
      <c r="AY710" s="23" t="s">
        <v>959</v>
      </c>
      <c r="AZ710" s="23" t="s">
        <v>975</v>
      </c>
      <c r="BA710" s="14" t="s">
        <v>976</v>
      </c>
      <c r="BC710" s="20">
        <f>AW710+AX710</f>
        <v>0</v>
      </c>
      <c r="BD710" s="20">
        <f>H710/(100-BE710)*100</f>
        <v>0</v>
      </c>
      <c r="BE710" s="20">
        <v>0</v>
      </c>
      <c r="BF710" s="20">
        <f>M710</f>
        <v>0</v>
      </c>
      <c r="BH710" s="11">
        <f>G710*AO710</f>
        <v>0</v>
      </c>
      <c r="BI710" s="11">
        <f>G710*AP710</f>
        <v>0</v>
      </c>
      <c r="BJ710" s="11">
        <f>G710*H710</f>
        <v>0</v>
      </c>
      <c r="BK710" s="11" t="s">
        <v>981</v>
      </c>
      <c r="BL710" s="20" t="s">
        <v>339</v>
      </c>
    </row>
    <row r="711" spans="1:64" ht="12.75">
      <c r="A711" s="60" t="s">
        <v>160</v>
      </c>
      <c r="B711" s="5"/>
      <c r="C711" s="5" t="s">
        <v>341</v>
      </c>
      <c r="D711" s="176" t="s">
        <v>752</v>
      </c>
      <c r="E711" s="177"/>
      <c r="F711" s="5" t="s">
        <v>885</v>
      </c>
      <c r="G711" s="11">
        <v>1</v>
      </c>
      <c r="H711" s="103"/>
      <c r="I711" s="11">
        <f>G711*AO711</f>
        <v>0</v>
      </c>
      <c r="J711" s="11">
        <f>G711*AP711</f>
        <v>0</v>
      </c>
      <c r="K711" s="11">
        <f>G711*H711</f>
        <v>0</v>
      </c>
      <c r="L711" s="11">
        <v>0</v>
      </c>
      <c r="M711" s="11">
        <f>G711*L711</f>
        <v>0</v>
      </c>
      <c r="N711" s="15" t="s">
        <v>913</v>
      </c>
      <c r="O711" s="1"/>
      <c r="Z711" s="20">
        <f>IF(AQ711="5",BJ711,0)</f>
        <v>0</v>
      </c>
      <c r="AB711" s="20">
        <f>IF(AQ711="1",BH711,0)</f>
        <v>0</v>
      </c>
      <c r="AC711" s="20">
        <f>IF(AQ711="1",BI711,0)</f>
        <v>0</v>
      </c>
      <c r="AD711" s="20">
        <f>IF(AQ711="7",BH711,0)</f>
        <v>0</v>
      </c>
      <c r="AE711" s="20">
        <f>IF(AQ711="7",BI711,0)</f>
        <v>0</v>
      </c>
      <c r="AF711" s="20">
        <f>IF(AQ711="2",BH711,0)</f>
        <v>0</v>
      </c>
      <c r="AG711" s="20">
        <f>IF(AQ711="2",BI711,0)</f>
        <v>0</v>
      </c>
      <c r="AH711" s="20">
        <f>IF(AQ711="0",BJ711,0)</f>
        <v>0</v>
      </c>
      <c r="AI711" s="14"/>
      <c r="AJ711" s="11">
        <f>IF(AN711=0,K711,0)</f>
        <v>0</v>
      </c>
      <c r="AK711" s="11">
        <f>IF(AN711=15,K711,0)</f>
        <v>0</v>
      </c>
      <c r="AL711" s="11">
        <f>IF(AN711=21,K711,0)</f>
        <v>0</v>
      </c>
      <c r="AN711" s="20">
        <v>21</v>
      </c>
      <c r="AO711" s="20">
        <f>H711*0</f>
        <v>0</v>
      </c>
      <c r="AP711" s="20">
        <f>H711*(1-0)</f>
        <v>0</v>
      </c>
      <c r="AQ711" s="21" t="s">
        <v>104</v>
      </c>
      <c r="AV711" s="20">
        <f>AW711+AX711</f>
        <v>0</v>
      </c>
      <c r="AW711" s="20">
        <f>G711*AO711</f>
        <v>0</v>
      </c>
      <c r="AX711" s="20">
        <f>G711*AP711</f>
        <v>0</v>
      </c>
      <c r="AY711" s="23" t="s">
        <v>959</v>
      </c>
      <c r="AZ711" s="23" t="s">
        <v>975</v>
      </c>
      <c r="BA711" s="14" t="s">
        <v>976</v>
      </c>
      <c r="BC711" s="20">
        <f>AW711+AX711</f>
        <v>0</v>
      </c>
      <c r="BD711" s="20">
        <f>H711/(100-BE711)*100</f>
        <v>0</v>
      </c>
      <c r="BE711" s="20">
        <v>0</v>
      </c>
      <c r="BF711" s="20">
        <f>M711</f>
        <v>0</v>
      </c>
      <c r="BH711" s="11">
        <f>G711*AO711</f>
        <v>0</v>
      </c>
      <c r="BI711" s="11">
        <f>G711*AP711</f>
        <v>0</v>
      </c>
      <c r="BJ711" s="11">
        <f>G711*H711</f>
        <v>0</v>
      </c>
      <c r="BK711" s="11" t="s">
        <v>981</v>
      </c>
      <c r="BL711" s="20" t="s">
        <v>339</v>
      </c>
    </row>
    <row r="712" spans="1:47" ht="12.75">
      <c r="A712" s="2"/>
      <c r="B712" s="6"/>
      <c r="C712" s="6" t="s">
        <v>342</v>
      </c>
      <c r="D712" s="174" t="s">
        <v>753</v>
      </c>
      <c r="E712" s="175"/>
      <c r="F712" s="10" t="s">
        <v>6</v>
      </c>
      <c r="G712" s="10" t="s">
        <v>6</v>
      </c>
      <c r="H712" s="10"/>
      <c r="I712" s="25">
        <f>SUM(I713:I714)</f>
        <v>0</v>
      </c>
      <c r="J712" s="25">
        <f>SUM(J713:J714)</f>
        <v>0</v>
      </c>
      <c r="K712" s="25">
        <f>SUM(K713:K714)</f>
        <v>0</v>
      </c>
      <c r="L712" s="14"/>
      <c r="M712" s="25">
        <f>SUM(M713:M714)</f>
        <v>0.1</v>
      </c>
      <c r="N712" s="17"/>
      <c r="O712" s="1"/>
      <c r="AI712" s="14"/>
      <c r="AS712" s="25">
        <f>SUM(AJ713:AJ714)</f>
        <v>0</v>
      </c>
      <c r="AT712" s="25">
        <f>SUM(AK713:AK714)</f>
        <v>0</v>
      </c>
      <c r="AU712" s="25">
        <f>SUM(AL713:AL714)</f>
        <v>0</v>
      </c>
    </row>
    <row r="713" spans="1:64" ht="12.75">
      <c r="A713" s="60" t="s">
        <v>161</v>
      </c>
      <c r="B713" s="5"/>
      <c r="C713" s="5" t="s">
        <v>343</v>
      </c>
      <c r="D713" s="176" t="s">
        <v>753</v>
      </c>
      <c r="E713" s="177"/>
      <c r="F713" s="5" t="s">
        <v>885</v>
      </c>
      <c r="G713" s="11">
        <v>1</v>
      </c>
      <c r="H713" s="103"/>
      <c r="I713" s="11">
        <f>G713*AO713</f>
        <v>0</v>
      </c>
      <c r="J713" s="11">
        <f>G713*AP713</f>
        <v>0</v>
      </c>
      <c r="K713" s="11">
        <f>G713*H713</f>
        <v>0</v>
      </c>
      <c r="L713" s="11">
        <v>0</v>
      </c>
      <c r="M713" s="11">
        <f>G713*L713</f>
        <v>0</v>
      </c>
      <c r="N713" s="15" t="s">
        <v>913</v>
      </c>
      <c r="O713" s="1"/>
      <c r="Z713" s="20">
        <f>IF(AQ713="5",BJ713,0)</f>
        <v>0</v>
      </c>
      <c r="AB713" s="20">
        <f>IF(AQ713="1",BH713,0)</f>
        <v>0</v>
      </c>
      <c r="AC713" s="20">
        <f>IF(AQ713="1",BI713,0)</f>
        <v>0</v>
      </c>
      <c r="AD713" s="20">
        <f>IF(AQ713="7",BH713,0)</f>
        <v>0</v>
      </c>
      <c r="AE713" s="20">
        <f>IF(AQ713="7",BI713,0)</f>
        <v>0</v>
      </c>
      <c r="AF713" s="20">
        <f>IF(AQ713="2",BH713,0)</f>
        <v>0</v>
      </c>
      <c r="AG713" s="20">
        <f>IF(AQ713="2",BI713,0)</f>
        <v>0</v>
      </c>
      <c r="AH713" s="20">
        <f>IF(AQ713="0",BJ713,0)</f>
        <v>0</v>
      </c>
      <c r="AI713" s="14"/>
      <c r="AJ713" s="11">
        <f>IF(AN713=0,K713,0)</f>
        <v>0</v>
      </c>
      <c r="AK713" s="11">
        <f>IF(AN713=15,K713,0)</f>
        <v>0</v>
      </c>
      <c r="AL713" s="11">
        <f>IF(AN713=21,K713,0)</f>
        <v>0</v>
      </c>
      <c r="AN713" s="20">
        <v>21</v>
      </c>
      <c r="AO713" s="20">
        <f>H713*0</f>
        <v>0</v>
      </c>
      <c r="AP713" s="20">
        <f>H713*(1-0)</f>
        <v>0</v>
      </c>
      <c r="AQ713" s="21" t="s">
        <v>104</v>
      </c>
      <c r="AV713" s="20">
        <f>AW713+AX713</f>
        <v>0</v>
      </c>
      <c r="AW713" s="20">
        <f>G713*AO713</f>
        <v>0</v>
      </c>
      <c r="AX713" s="20">
        <f>G713*AP713</f>
        <v>0</v>
      </c>
      <c r="AY713" s="23" t="s">
        <v>960</v>
      </c>
      <c r="AZ713" s="23" t="s">
        <v>975</v>
      </c>
      <c r="BA713" s="14" t="s">
        <v>976</v>
      </c>
      <c r="BC713" s="20">
        <f>AW713+AX713</f>
        <v>0</v>
      </c>
      <c r="BD713" s="20">
        <f>H713/(100-BE713)*100</f>
        <v>0</v>
      </c>
      <c r="BE713" s="20">
        <v>0</v>
      </c>
      <c r="BF713" s="20">
        <f>M713</f>
        <v>0</v>
      </c>
      <c r="BH713" s="11">
        <f>G713*AO713</f>
        <v>0</v>
      </c>
      <c r="BI713" s="11">
        <f>G713*AP713</f>
        <v>0</v>
      </c>
      <c r="BJ713" s="11">
        <f>G713*H713</f>
        <v>0</v>
      </c>
      <c r="BK713" s="11" t="s">
        <v>981</v>
      </c>
      <c r="BL713" s="20" t="s">
        <v>342</v>
      </c>
    </row>
    <row r="714" spans="1:64" ht="12.75">
      <c r="A714" s="60" t="s">
        <v>162</v>
      </c>
      <c r="B714" s="5"/>
      <c r="C714" s="5" t="s">
        <v>344</v>
      </c>
      <c r="D714" s="176" t="s">
        <v>754</v>
      </c>
      <c r="E714" s="177"/>
      <c r="F714" s="5" t="s">
        <v>885</v>
      </c>
      <c r="G714" s="11">
        <v>1</v>
      </c>
      <c r="H714" s="103"/>
      <c r="I714" s="11">
        <f>G714*AO714</f>
        <v>0</v>
      </c>
      <c r="J714" s="11">
        <f>G714*AP714</f>
        <v>0</v>
      </c>
      <c r="K714" s="11">
        <f>G714*H714</f>
        <v>0</v>
      </c>
      <c r="L714" s="11">
        <v>0.1</v>
      </c>
      <c r="M714" s="11">
        <f>G714*L714</f>
        <v>0.1</v>
      </c>
      <c r="N714" s="15" t="s">
        <v>913</v>
      </c>
      <c r="O714" s="1"/>
      <c r="Z714" s="20">
        <f>IF(AQ714="5",BJ714,0)</f>
        <v>0</v>
      </c>
      <c r="AB714" s="20">
        <f>IF(AQ714="1",BH714,0)</f>
        <v>0</v>
      </c>
      <c r="AC714" s="20">
        <f>IF(AQ714="1",BI714,0)</f>
        <v>0</v>
      </c>
      <c r="AD714" s="20">
        <f>IF(AQ714="7",BH714,0)</f>
        <v>0</v>
      </c>
      <c r="AE714" s="20">
        <f>IF(AQ714="7",BI714,0)</f>
        <v>0</v>
      </c>
      <c r="AF714" s="20">
        <f>IF(AQ714="2",BH714,0)</f>
        <v>0</v>
      </c>
      <c r="AG714" s="20">
        <f>IF(AQ714="2",BI714,0)</f>
        <v>0</v>
      </c>
      <c r="AH714" s="20">
        <f>IF(AQ714="0",BJ714,0)</f>
        <v>0</v>
      </c>
      <c r="AI714" s="14"/>
      <c r="AJ714" s="11">
        <f>IF(AN714=0,K714,0)</f>
        <v>0</v>
      </c>
      <c r="AK714" s="11">
        <f>IF(AN714=15,K714,0)</f>
        <v>0</v>
      </c>
      <c r="AL714" s="11">
        <f>IF(AN714=21,K714,0)</f>
        <v>0</v>
      </c>
      <c r="AN714" s="20">
        <v>21</v>
      </c>
      <c r="AO714" s="20">
        <f>H714*0.25</f>
        <v>0</v>
      </c>
      <c r="AP714" s="20">
        <f>H714*(1-0.25)</f>
        <v>0</v>
      </c>
      <c r="AQ714" s="21" t="s">
        <v>104</v>
      </c>
      <c r="AV714" s="20">
        <f>AW714+AX714</f>
        <v>0</v>
      </c>
      <c r="AW714" s="20">
        <f>G714*AO714</f>
        <v>0</v>
      </c>
      <c r="AX714" s="20">
        <f>G714*AP714</f>
        <v>0</v>
      </c>
      <c r="AY714" s="23" t="s">
        <v>960</v>
      </c>
      <c r="AZ714" s="23" t="s">
        <v>975</v>
      </c>
      <c r="BA714" s="14" t="s">
        <v>976</v>
      </c>
      <c r="BC714" s="20">
        <f>AW714+AX714</f>
        <v>0</v>
      </c>
      <c r="BD714" s="20">
        <f>H714/(100-BE714)*100</f>
        <v>0</v>
      </c>
      <c r="BE714" s="20">
        <v>0</v>
      </c>
      <c r="BF714" s="20">
        <f>M714</f>
        <v>0.1</v>
      </c>
      <c r="BH714" s="11">
        <f>G714*AO714</f>
        <v>0</v>
      </c>
      <c r="BI714" s="11">
        <f>G714*AP714</f>
        <v>0</v>
      </c>
      <c r="BJ714" s="11">
        <f>G714*H714</f>
        <v>0</v>
      </c>
      <c r="BK714" s="11" t="s">
        <v>981</v>
      </c>
      <c r="BL714" s="20" t="s">
        <v>342</v>
      </c>
    </row>
    <row r="715" spans="1:47" ht="12.75">
      <c r="A715" s="2"/>
      <c r="B715" s="6"/>
      <c r="C715" s="6" t="s">
        <v>345</v>
      </c>
      <c r="D715" s="174" t="s">
        <v>755</v>
      </c>
      <c r="E715" s="175"/>
      <c r="F715" s="10" t="s">
        <v>6</v>
      </c>
      <c r="G715" s="10" t="s">
        <v>6</v>
      </c>
      <c r="H715" s="10"/>
      <c r="I715" s="25">
        <f>SUM(I716:I716)</f>
        <v>0</v>
      </c>
      <c r="J715" s="25">
        <f>SUM(J716:J716)</f>
        <v>0</v>
      </c>
      <c r="K715" s="25">
        <f>SUM(K716:K716)</f>
        <v>0</v>
      </c>
      <c r="L715" s="14"/>
      <c r="M715" s="25">
        <f>SUM(M716:M716)</f>
        <v>0</v>
      </c>
      <c r="N715" s="17"/>
      <c r="O715" s="1"/>
      <c r="AI715" s="14"/>
      <c r="AS715" s="25">
        <f>SUM(AJ716:AJ716)</f>
        <v>0</v>
      </c>
      <c r="AT715" s="25">
        <f>SUM(AK716:AK716)</f>
        <v>0</v>
      </c>
      <c r="AU715" s="25">
        <f>SUM(AL716:AL716)</f>
        <v>0</v>
      </c>
    </row>
    <row r="716" spans="1:64" ht="12.75">
      <c r="A716" s="60" t="s">
        <v>163</v>
      </c>
      <c r="B716" s="5"/>
      <c r="C716" s="5" t="s">
        <v>346</v>
      </c>
      <c r="D716" s="176" t="s">
        <v>756</v>
      </c>
      <c r="E716" s="177"/>
      <c r="F716" s="5" t="s">
        <v>885</v>
      </c>
      <c r="G716" s="11">
        <v>1</v>
      </c>
      <c r="H716" s="103"/>
      <c r="I716" s="11">
        <f>G716*AO716</f>
        <v>0</v>
      </c>
      <c r="J716" s="11">
        <f>G716*AP716</f>
        <v>0</v>
      </c>
      <c r="K716" s="11">
        <f>G716*H716</f>
        <v>0</v>
      </c>
      <c r="L716" s="11">
        <v>0</v>
      </c>
      <c r="M716" s="11">
        <f>G716*L716</f>
        <v>0</v>
      </c>
      <c r="N716" s="15" t="s">
        <v>913</v>
      </c>
      <c r="O716" s="1"/>
      <c r="Z716" s="20">
        <f>IF(AQ716="5",BJ716,0)</f>
        <v>0</v>
      </c>
      <c r="AB716" s="20">
        <f>IF(AQ716="1",BH716,0)</f>
        <v>0</v>
      </c>
      <c r="AC716" s="20">
        <f>IF(AQ716="1",BI716,0)</f>
        <v>0</v>
      </c>
      <c r="AD716" s="20">
        <f>IF(AQ716="7",BH716,0)</f>
        <v>0</v>
      </c>
      <c r="AE716" s="20">
        <f>IF(AQ716="7",BI716,0)</f>
        <v>0</v>
      </c>
      <c r="AF716" s="20">
        <f>IF(AQ716="2",BH716,0)</f>
        <v>0</v>
      </c>
      <c r="AG716" s="20">
        <f>IF(AQ716="2",BI716,0)</f>
        <v>0</v>
      </c>
      <c r="AH716" s="20">
        <f>IF(AQ716="0",BJ716,0)</f>
        <v>0</v>
      </c>
      <c r="AI716" s="14"/>
      <c r="AJ716" s="11">
        <f>IF(AN716=0,K716,0)</f>
        <v>0</v>
      </c>
      <c r="AK716" s="11">
        <f>IF(AN716=15,K716,0)</f>
        <v>0</v>
      </c>
      <c r="AL716" s="11">
        <f>IF(AN716=21,K716,0)</f>
        <v>0</v>
      </c>
      <c r="AN716" s="20">
        <v>21</v>
      </c>
      <c r="AO716" s="20">
        <f>H716*0.1</f>
        <v>0</v>
      </c>
      <c r="AP716" s="20">
        <f>H716*(1-0.1)</f>
        <v>0</v>
      </c>
      <c r="AQ716" s="21" t="s">
        <v>104</v>
      </c>
      <c r="AV716" s="20">
        <f>AW716+AX716</f>
        <v>0</v>
      </c>
      <c r="AW716" s="20">
        <f>G716*AO716</f>
        <v>0</v>
      </c>
      <c r="AX716" s="20">
        <f>G716*AP716</f>
        <v>0</v>
      </c>
      <c r="AY716" s="23" t="s">
        <v>961</v>
      </c>
      <c r="AZ716" s="23" t="s">
        <v>975</v>
      </c>
      <c r="BA716" s="14" t="s">
        <v>976</v>
      </c>
      <c r="BC716" s="20">
        <f>AW716+AX716</f>
        <v>0</v>
      </c>
      <c r="BD716" s="20">
        <f>H716/(100-BE716)*100</f>
        <v>0</v>
      </c>
      <c r="BE716" s="20">
        <v>0</v>
      </c>
      <c r="BF716" s="20">
        <f>M716</f>
        <v>0</v>
      </c>
      <c r="BH716" s="11">
        <f>G716*AO716</f>
        <v>0</v>
      </c>
      <c r="BI716" s="11">
        <f>G716*AP716</f>
        <v>0</v>
      </c>
      <c r="BJ716" s="11">
        <f>G716*H716</f>
        <v>0</v>
      </c>
      <c r="BK716" s="11" t="s">
        <v>981</v>
      </c>
      <c r="BL716" s="20" t="s">
        <v>345</v>
      </c>
    </row>
    <row r="717" spans="1:47" ht="12.75">
      <c r="A717" s="2"/>
      <c r="B717" s="6"/>
      <c r="C717" s="6" t="s">
        <v>347</v>
      </c>
      <c r="D717" s="174" t="s">
        <v>757</v>
      </c>
      <c r="E717" s="175"/>
      <c r="F717" s="10" t="s">
        <v>6</v>
      </c>
      <c r="G717" s="10" t="s">
        <v>6</v>
      </c>
      <c r="H717" s="10"/>
      <c r="I717" s="25">
        <f>SUM(I718:I718)</f>
        <v>0</v>
      </c>
      <c r="J717" s="25">
        <f>SUM(J718:J718)</f>
        <v>0</v>
      </c>
      <c r="K717" s="25">
        <f>SUM(K718:K718)</f>
        <v>0</v>
      </c>
      <c r="L717" s="14"/>
      <c r="M717" s="25">
        <f>SUM(M718:M718)</f>
        <v>0</v>
      </c>
      <c r="N717" s="17"/>
      <c r="O717" s="1"/>
      <c r="AI717" s="14"/>
      <c r="AS717" s="25">
        <f>SUM(AJ718:AJ718)</f>
        <v>0</v>
      </c>
      <c r="AT717" s="25">
        <f>SUM(AK718:AK718)</f>
        <v>0</v>
      </c>
      <c r="AU717" s="25">
        <f>SUM(AL718:AL718)</f>
        <v>0</v>
      </c>
    </row>
    <row r="718" spans="1:64" ht="12.75">
      <c r="A718" s="60" t="s">
        <v>164</v>
      </c>
      <c r="B718" s="5"/>
      <c r="C718" s="5" t="s">
        <v>348</v>
      </c>
      <c r="D718" s="176" t="s">
        <v>757</v>
      </c>
      <c r="E718" s="177"/>
      <c r="F718" s="5" t="s">
        <v>885</v>
      </c>
      <c r="G718" s="11">
        <v>1</v>
      </c>
      <c r="H718" s="103"/>
      <c r="I718" s="11">
        <f>G718*AO718</f>
        <v>0</v>
      </c>
      <c r="J718" s="11">
        <f>G718*AP718</f>
        <v>0</v>
      </c>
      <c r="K718" s="11">
        <f>G718*H718</f>
        <v>0</v>
      </c>
      <c r="L718" s="11">
        <v>0</v>
      </c>
      <c r="M718" s="11">
        <f>G718*L718</f>
        <v>0</v>
      </c>
      <c r="N718" s="15" t="s">
        <v>913</v>
      </c>
      <c r="O718" s="1"/>
      <c r="Z718" s="20">
        <f>IF(AQ718="5",BJ718,0)</f>
        <v>0</v>
      </c>
      <c r="AB718" s="20">
        <f>IF(AQ718="1",BH718,0)</f>
        <v>0</v>
      </c>
      <c r="AC718" s="20">
        <f>IF(AQ718="1",BI718,0)</f>
        <v>0</v>
      </c>
      <c r="AD718" s="20">
        <f>IF(AQ718="7",BH718,0)</f>
        <v>0</v>
      </c>
      <c r="AE718" s="20">
        <f>IF(AQ718="7",BI718,0)</f>
        <v>0</v>
      </c>
      <c r="AF718" s="20">
        <f>IF(AQ718="2",BH718,0)</f>
        <v>0</v>
      </c>
      <c r="AG718" s="20">
        <f>IF(AQ718="2",BI718,0)</f>
        <v>0</v>
      </c>
      <c r="AH718" s="20">
        <f>IF(AQ718="0",BJ718,0)</f>
        <v>0</v>
      </c>
      <c r="AI718" s="14"/>
      <c r="AJ718" s="11">
        <f>IF(AN718=0,K718,0)</f>
        <v>0</v>
      </c>
      <c r="AK718" s="11">
        <f>IF(AN718=15,K718,0)</f>
        <v>0</v>
      </c>
      <c r="AL718" s="11">
        <f>IF(AN718=21,K718,0)</f>
        <v>0</v>
      </c>
      <c r="AN718" s="20">
        <v>21</v>
      </c>
      <c r="AO718" s="20">
        <f>H718*0.2</f>
        <v>0</v>
      </c>
      <c r="AP718" s="20">
        <f>H718*(1-0.2)</f>
        <v>0</v>
      </c>
      <c r="AQ718" s="21" t="s">
        <v>104</v>
      </c>
      <c r="AV718" s="20">
        <f>AW718+AX718</f>
        <v>0</v>
      </c>
      <c r="AW718" s="20">
        <f>G718*AO718</f>
        <v>0</v>
      </c>
      <c r="AX718" s="20">
        <f>G718*AP718</f>
        <v>0</v>
      </c>
      <c r="AY718" s="23" t="s">
        <v>962</v>
      </c>
      <c r="AZ718" s="23" t="s">
        <v>975</v>
      </c>
      <c r="BA718" s="14" t="s">
        <v>976</v>
      </c>
      <c r="BC718" s="20">
        <f>AW718+AX718</f>
        <v>0</v>
      </c>
      <c r="BD718" s="20">
        <f>H718/(100-BE718)*100</f>
        <v>0</v>
      </c>
      <c r="BE718" s="20">
        <v>0</v>
      </c>
      <c r="BF718" s="20">
        <f>M718</f>
        <v>0</v>
      </c>
      <c r="BH718" s="11">
        <f>G718*AO718</f>
        <v>0</v>
      </c>
      <c r="BI718" s="11">
        <f>G718*AP718</f>
        <v>0</v>
      </c>
      <c r="BJ718" s="11">
        <f>G718*H718</f>
        <v>0</v>
      </c>
      <c r="BK718" s="11" t="s">
        <v>981</v>
      </c>
      <c r="BL718" s="20" t="s">
        <v>347</v>
      </c>
    </row>
    <row r="719" spans="1:14" ht="12.75">
      <c r="A719" s="3"/>
      <c r="B719" s="3"/>
      <c r="C719" s="3"/>
      <c r="D719" s="3"/>
      <c r="E719" s="3"/>
      <c r="F719" s="3"/>
      <c r="G719" s="3"/>
      <c r="H719" s="3"/>
      <c r="I719" s="185" t="s">
        <v>905</v>
      </c>
      <c r="J719" s="113"/>
      <c r="K719" s="26">
        <f>K12+K26+K33+K49+K55+K78+K84+K89+K97+K101+K124+K297+K330+K372+K375+K380+K388+K394+K468+K520+K534+K548+K555+K560+K564+K572+K575+K613+K621+K632+K682+K684+K687+K692+K703+K707+K709+K712+K715+K717</f>
        <v>0</v>
      </c>
      <c r="L719" s="3"/>
      <c r="M719" s="3"/>
      <c r="N719" s="3"/>
    </row>
    <row r="720" ht="11.25" customHeight="1">
      <c r="A720" s="4" t="s">
        <v>166</v>
      </c>
    </row>
    <row r="721" spans="1:14" ht="12.75">
      <c r="A721" s="119"/>
      <c r="B721" s="111"/>
      <c r="C721" s="111"/>
      <c r="D721" s="111"/>
      <c r="E721" s="111"/>
      <c r="F721" s="111"/>
      <c r="G721" s="111"/>
      <c r="H721" s="111"/>
      <c r="I721" s="111"/>
      <c r="J721" s="111"/>
      <c r="K721" s="111"/>
      <c r="L721" s="111"/>
      <c r="M721" s="111"/>
      <c r="N721" s="111"/>
    </row>
  </sheetData>
  <sheetProtection/>
  <mergeCells count="232">
    <mergeCell ref="D715:E715"/>
    <mergeCell ref="D716:E716"/>
    <mergeCell ref="I719:J719"/>
    <mergeCell ref="A721:N721"/>
    <mergeCell ref="D717:E717"/>
    <mergeCell ref="D718:E718"/>
    <mergeCell ref="D709:E709"/>
    <mergeCell ref="D710:E710"/>
    <mergeCell ref="D711:E711"/>
    <mergeCell ref="D712:E712"/>
    <mergeCell ref="D713:E713"/>
    <mergeCell ref="D714:E714"/>
    <mergeCell ref="D703:E703"/>
    <mergeCell ref="D704:E704"/>
    <mergeCell ref="D705:E705"/>
    <mergeCell ref="D706:E706"/>
    <mergeCell ref="D707:E707"/>
    <mergeCell ref="D708:E708"/>
    <mergeCell ref="D699:E699"/>
    <mergeCell ref="D700:E700"/>
    <mergeCell ref="D702:E702"/>
    <mergeCell ref="D695:E695"/>
    <mergeCell ref="D697:E697"/>
    <mergeCell ref="D698:E698"/>
    <mergeCell ref="D688:E688"/>
    <mergeCell ref="D690:E690"/>
    <mergeCell ref="D692:E692"/>
    <mergeCell ref="D693:E693"/>
    <mergeCell ref="D694:E694"/>
    <mergeCell ref="D682:E682"/>
    <mergeCell ref="D683:E683"/>
    <mergeCell ref="D684:E684"/>
    <mergeCell ref="D685:E685"/>
    <mergeCell ref="D687:E687"/>
    <mergeCell ref="D632:E632"/>
    <mergeCell ref="D633:E633"/>
    <mergeCell ref="D652:E652"/>
    <mergeCell ref="D668:E668"/>
    <mergeCell ref="D671:E671"/>
    <mergeCell ref="D675:E675"/>
    <mergeCell ref="D621:E621"/>
    <mergeCell ref="D622:E622"/>
    <mergeCell ref="D625:E625"/>
    <mergeCell ref="D627:E627"/>
    <mergeCell ref="D629:E629"/>
    <mergeCell ref="D612:E612"/>
    <mergeCell ref="D613:E613"/>
    <mergeCell ref="D614:E614"/>
    <mergeCell ref="D616:E616"/>
    <mergeCell ref="D618:E618"/>
    <mergeCell ref="D620:E620"/>
    <mergeCell ref="D596:E596"/>
    <mergeCell ref="D601:E601"/>
    <mergeCell ref="D606:E606"/>
    <mergeCell ref="D608:E608"/>
    <mergeCell ref="D610:E610"/>
    <mergeCell ref="D573:E573"/>
    <mergeCell ref="D575:E575"/>
    <mergeCell ref="D576:E576"/>
    <mergeCell ref="D581:E581"/>
    <mergeCell ref="D586:E586"/>
    <mergeCell ref="D591:E591"/>
    <mergeCell ref="D561:E561"/>
    <mergeCell ref="D564:E564"/>
    <mergeCell ref="D565:E565"/>
    <mergeCell ref="D570:E570"/>
    <mergeCell ref="D572:E572"/>
    <mergeCell ref="D556:E556"/>
    <mergeCell ref="D558:E558"/>
    <mergeCell ref="D559:E559"/>
    <mergeCell ref="D560:E560"/>
    <mergeCell ref="D543:E543"/>
    <mergeCell ref="D545:E545"/>
    <mergeCell ref="D548:E548"/>
    <mergeCell ref="D549:E549"/>
    <mergeCell ref="D552:E552"/>
    <mergeCell ref="D555:E555"/>
    <mergeCell ref="D525:E525"/>
    <mergeCell ref="D529:E529"/>
    <mergeCell ref="D533:E533"/>
    <mergeCell ref="D534:E534"/>
    <mergeCell ref="D535:E535"/>
    <mergeCell ref="D541:E541"/>
    <mergeCell ref="D503:E503"/>
    <mergeCell ref="D511:E511"/>
    <mergeCell ref="D519:E519"/>
    <mergeCell ref="D520:E520"/>
    <mergeCell ref="D521:E521"/>
    <mergeCell ref="D523:E523"/>
    <mergeCell ref="D467:E467"/>
    <mergeCell ref="D468:E468"/>
    <mergeCell ref="D469:E469"/>
    <mergeCell ref="D478:E478"/>
    <mergeCell ref="D487:E487"/>
    <mergeCell ref="D495:E495"/>
    <mergeCell ref="D432:E432"/>
    <mergeCell ref="D435:E435"/>
    <mergeCell ref="D438:E438"/>
    <mergeCell ref="D441:E441"/>
    <mergeCell ref="D447:E447"/>
    <mergeCell ref="D457:E457"/>
    <mergeCell ref="D407:E407"/>
    <mergeCell ref="D411:E411"/>
    <mergeCell ref="D417:E417"/>
    <mergeCell ref="D420:E420"/>
    <mergeCell ref="D424:E424"/>
    <mergeCell ref="D428:E428"/>
    <mergeCell ref="D393:E393"/>
    <mergeCell ref="D394:E394"/>
    <mergeCell ref="D395:E395"/>
    <mergeCell ref="D398:E398"/>
    <mergeCell ref="D401:E401"/>
    <mergeCell ref="D404:E404"/>
    <mergeCell ref="D383:E383"/>
    <mergeCell ref="D385:E385"/>
    <mergeCell ref="D387:E387"/>
    <mergeCell ref="D388:E388"/>
    <mergeCell ref="D389:E389"/>
    <mergeCell ref="D391:E391"/>
    <mergeCell ref="D379:E379"/>
    <mergeCell ref="D380:E380"/>
    <mergeCell ref="D381:E381"/>
    <mergeCell ref="D366:E366"/>
    <mergeCell ref="D371:E371"/>
    <mergeCell ref="D372:E372"/>
    <mergeCell ref="D373:E373"/>
    <mergeCell ref="D375:E375"/>
    <mergeCell ref="D376:E376"/>
    <mergeCell ref="D341:E341"/>
    <mergeCell ref="D345:E345"/>
    <mergeCell ref="D349:E349"/>
    <mergeCell ref="D353:E353"/>
    <mergeCell ref="D357:E357"/>
    <mergeCell ref="D362:E362"/>
    <mergeCell ref="D312:E312"/>
    <mergeCell ref="D319:E319"/>
    <mergeCell ref="D326:E326"/>
    <mergeCell ref="D330:E330"/>
    <mergeCell ref="D331:E331"/>
    <mergeCell ref="D336:E336"/>
    <mergeCell ref="D286:E286"/>
    <mergeCell ref="D295:E295"/>
    <mergeCell ref="D297:E297"/>
    <mergeCell ref="D298:E298"/>
    <mergeCell ref="D305:E305"/>
    <mergeCell ref="D238:E238"/>
    <mergeCell ref="D251:E251"/>
    <mergeCell ref="D259:E259"/>
    <mergeCell ref="D268:E268"/>
    <mergeCell ref="D277:E277"/>
    <mergeCell ref="D283:E283"/>
    <mergeCell ref="D206:E206"/>
    <mergeCell ref="D211:E211"/>
    <mergeCell ref="D214:E214"/>
    <mergeCell ref="D217:E217"/>
    <mergeCell ref="D221:E221"/>
    <mergeCell ref="D225:E225"/>
    <mergeCell ref="D159:E159"/>
    <mergeCell ref="D170:E170"/>
    <mergeCell ref="D178:E178"/>
    <mergeCell ref="D184:E184"/>
    <mergeCell ref="D196:E196"/>
    <mergeCell ref="D201:E201"/>
    <mergeCell ref="D119:E119"/>
    <mergeCell ref="D124:E124"/>
    <mergeCell ref="D125:E125"/>
    <mergeCell ref="D143:E143"/>
    <mergeCell ref="D147:E147"/>
    <mergeCell ref="D154:E154"/>
    <mergeCell ref="D98:E98"/>
    <mergeCell ref="D101:E101"/>
    <mergeCell ref="D102:E102"/>
    <mergeCell ref="D105:E105"/>
    <mergeCell ref="D108:E108"/>
    <mergeCell ref="D85:E85"/>
    <mergeCell ref="D89:E89"/>
    <mergeCell ref="D90:E90"/>
    <mergeCell ref="D97:E97"/>
    <mergeCell ref="D71:E71"/>
    <mergeCell ref="D76:E76"/>
    <mergeCell ref="D78:E78"/>
    <mergeCell ref="D79:E79"/>
    <mergeCell ref="D82:E82"/>
    <mergeCell ref="D84:E84"/>
    <mergeCell ref="D55:E55"/>
    <mergeCell ref="D56:E56"/>
    <mergeCell ref="D61:E61"/>
    <mergeCell ref="D66:E66"/>
    <mergeCell ref="D39:E39"/>
    <mergeCell ref="D45:E45"/>
    <mergeCell ref="D47:E47"/>
    <mergeCell ref="D49:E49"/>
    <mergeCell ref="D50:E50"/>
    <mergeCell ref="D33:E33"/>
    <mergeCell ref="D34:E34"/>
    <mergeCell ref="D36:E36"/>
    <mergeCell ref="D17:E17"/>
    <mergeCell ref="D21:E21"/>
    <mergeCell ref="D24:E24"/>
    <mergeCell ref="D26:E26"/>
    <mergeCell ref="D27:E27"/>
    <mergeCell ref="D10:E10"/>
    <mergeCell ref="I10:K10"/>
    <mergeCell ref="L10:M10"/>
    <mergeCell ref="D11:E11"/>
    <mergeCell ref="D12:E12"/>
    <mergeCell ref="D13:E13"/>
    <mergeCell ref="A8:C9"/>
    <mergeCell ref="D8:D9"/>
    <mergeCell ref="E8:E9"/>
    <mergeCell ref="F8:G9"/>
    <mergeCell ref="H8:H9"/>
    <mergeCell ref="I8:N9"/>
    <mergeCell ref="A6:C7"/>
    <mergeCell ref="D6:D7"/>
    <mergeCell ref="E6:E7"/>
    <mergeCell ref="F6:G7"/>
    <mergeCell ref="H6:H7"/>
    <mergeCell ref="I6:N7"/>
    <mergeCell ref="A4:C5"/>
    <mergeCell ref="D4:D5"/>
    <mergeCell ref="E4:E5"/>
    <mergeCell ref="F4:G5"/>
    <mergeCell ref="H4:H5"/>
    <mergeCell ref="I4:N5"/>
    <mergeCell ref="A1:N1"/>
    <mergeCell ref="A2:C3"/>
    <mergeCell ref="D2:D3"/>
    <mergeCell ref="E2:E3"/>
    <mergeCell ref="F2:G3"/>
    <mergeCell ref="H2:H3"/>
    <mergeCell ref="I2:N3"/>
  </mergeCells>
  <printOptions/>
  <pageMargins left="0.394" right="0.394" top="0.591" bottom="0.591" header="0.5" footer="0.5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Martin Chroust</dc:creator>
  <cp:keywords/>
  <dc:description/>
  <cp:lastModifiedBy>Mgr. Martin Chroust</cp:lastModifiedBy>
  <dcterms:created xsi:type="dcterms:W3CDTF">2023-03-03T12:35:01Z</dcterms:created>
  <dcterms:modified xsi:type="dcterms:W3CDTF">2023-03-20T06:49:56Z</dcterms:modified>
  <cp:category/>
  <cp:version/>
  <cp:contentType/>
  <cp:contentStatus/>
</cp:coreProperties>
</file>