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12000" activeTab="0"/>
  </bookViews>
  <sheets>
    <sheet name="Stavební rozpočet" sheetId="1" r:id="rId1"/>
    <sheet name="Rozpočet - Skupiny a položky" sheetId="2" r:id="rId2"/>
    <sheet name="Rozpočet - Jen skupiny" sheetId="3" r:id="rId3"/>
    <sheet name="Rozpočet - Jen podskupiny" sheetId="4" r:id="rId4"/>
    <sheet name="Krycí list rozpočtu" sheetId="5" r:id="rId5"/>
  </sheets>
  <definedNames/>
  <calcPr fullCalcOnLoad="1"/>
</workbook>
</file>

<file path=xl/sharedStrings.xml><?xml version="1.0" encoding="utf-8"?>
<sst xmlns="http://schemas.openxmlformats.org/spreadsheetml/2006/main" count="1046" uniqueCount="251">
  <si>
    <t>13,178</t>
  </si>
  <si>
    <t>968062355R00</t>
  </si>
  <si>
    <t>Doba výstavby:</t>
  </si>
  <si>
    <t>Projektant</t>
  </si>
  <si>
    <t>VLASTNÍ</t>
  </si>
  <si>
    <t>Základ 15%</t>
  </si>
  <si>
    <t>Malby</t>
  </si>
  <si>
    <t>Slepý stavební rozpočet - Jen podskupiny</t>
  </si>
  <si>
    <t>Slepý stavební rozpočet - Skupiny a položky</t>
  </si>
  <si>
    <t>Základ 21%</t>
  </si>
  <si>
    <t>20</t>
  </si>
  <si>
    <t>1,27*2,00*3</t>
  </si>
  <si>
    <t>Dodávka</t>
  </si>
  <si>
    <t>NUS celkem z obj.</t>
  </si>
  <si>
    <t>Dokončovací práce</t>
  </si>
  <si>
    <t>Název stavby:</t>
  </si>
  <si>
    <t>Ostatní materiál</t>
  </si>
  <si>
    <t>Č</t>
  </si>
  <si>
    <t>Penetrace podkladu nátěrem Hetline Forte, 1 x</t>
  </si>
  <si>
    <t>764</t>
  </si>
  <si>
    <t>Poznámka:</t>
  </si>
  <si>
    <t>Lokalita:</t>
  </si>
  <si>
    <t>16</t>
  </si>
  <si>
    <t>PSV</t>
  </si>
  <si>
    <t>24</t>
  </si>
  <si>
    <t>Bez pevné podl.</t>
  </si>
  <si>
    <t>Celkem</t>
  </si>
  <si>
    <t>Zařízení staveniště</t>
  </si>
  <si>
    <t>998011002R00</t>
  </si>
  <si>
    <t>766_</t>
  </si>
  <si>
    <t>4</t>
  </si>
  <si>
    <t>1,47*2,7*24</t>
  </si>
  <si>
    <t>Základní rozpočtové náklady</t>
  </si>
  <si>
    <t>6_</t>
  </si>
  <si>
    <t>612425931RT2</t>
  </si>
  <si>
    <t>Konstrukce klempířské</t>
  </si>
  <si>
    <t>Celkem bez DPH</t>
  </si>
  <si>
    <t>Hmotnost (t)</t>
  </si>
  <si>
    <t>6</t>
  </si>
  <si>
    <t>Položka obsahuje náklady na vyvěšení křídel, jejich uložení a zpětné zavěšení po provedených stavebních úpravách. Položka se používá i pro vyvěšení křídel určených k likvidaci</t>
  </si>
  <si>
    <t>Rozpočtové náklady v Kč</t>
  </si>
  <si>
    <t>B</t>
  </si>
  <si>
    <t>Náklady na umístění stavby (NUS)</t>
  </si>
  <si>
    <t>vnitřní</t>
  </si>
  <si>
    <t>Montáž</t>
  </si>
  <si>
    <t>Datum, razítko a podpis</t>
  </si>
  <si>
    <t>V položce není kalkulována manipulace se sutí, která se oceňuje samostatně položkami souboru 979. V položce není zakalkulováno vyvěšení křídel. Tyto práce se oceňují samostatně položkami souboru 968 06 -11 Vyvěšení dřevěných křídel. Položka se používá pro okna dvojitá nebo zdvojená.</t>
  </si>
  <si>
    <t>ZRN celkem</t>
  </si>
  <si>
    <t>Z99999_</t>
  </si>
  <si>
    <t>DPH 15%</t>
  </si>
  <si>
    <t>78</t>
  </si>
  <si>
    <t>Krycí list slepého rozpočtu</t>
  </si>
  <si>
    <t>63</t>
  </si>
  <si>
    <t>Konstrukce</t>
  </si>
  <si>
    <t>387*0,25</t>
  </si>
  <si>
    <t>kus</t>
  </si>
  <si>
    <t>Dodávky</t>
  </si>
  <si>
    <t>soustava</t>
  </si>
  <si>
    <t>784161701R00</t>
  </si>
  <si>
    <t>V položce jsou zakalkulovány náklady na pomocné pracovní lešení o výšce podlahy do 1900 mm a pro zatížení do 1,5 kPa</t>
  </si>
  <si>
    <t>Vnitrostaveništní doprava suti do 10 m</t>
  </si>
  <si>
    <t>Ostatní mat.</t>
  </si>
  <si>
    <t>Cenová</t>
  </si>
  <si>
    <t>ŠLUKNOV VOHRADSKÉHO</t>
  </si>
  <si>
    <t>HSV prac</t>
  </si>
  <si>
    <t>Příplatek za dalších započatých 1000 m nad 6000 m</t>
  </si>
  <si>
    <t>13</t>
  </si>
  <si>
    <t>232</t>
  </si>
  <si>
    <t>"M"</t>
  </si>
  <si>
    <t>Cena/MJ</t>
  </si>
  <si>
    <t>Konec výstavby:</t>
  </si>
  <si>
    <t>Přesun hmot pro budovy zděné výšky do 12 m</t>
  </si>
  <si>
    <t>ostění</t>
  </si>
  <si>
    <t>Kód</t>
  </si>
  <si>
    <t>S</t>
  </si>
  <si>
    <t>Jednot.</t>
  </si>
  <si>
    <t>Slepý stavební rozpočet - Jen skupiny</t>
  </si>
  <si>
    <t>Osazení rámů okenních dřevěných, plocha do 2,5 m2</t>
  </si>
  <si>
    <t>MJ</t>
  </si>
  <si>
    <t>209,175</t>
  </si>
  <si>
    <t>9_</t>
  </si>
  <si>
    <t>Doplňkové náklady</t>
  </si>
  <si>
    <t>RTS komentář:</t>
  </si>
  <si>
    <t>PSV prac</t>
  </si>
  <si>
    <t>HSV</t>
  </si>
  <si>
    <t>9</t>
  </si>
  <si>
    <t>15</t>
  </si>
  <si>
    <t>3*4</t>
  </si>
  <si>
    <t>VÝMĚNA OKEN DRUHÁ ETAPA</t>
  </si>
  <si>
    <t>ISWORK</t>
  </si>
  <si>
    <t>Celkem včetně DPH</t>
  </si>
  <si>
    <t>Okno dřevěné 1470x2700 dle PD</t>
  </si>
  <si>
    <t>Základ 0%</t>
  </si>
  <si>
    <t>61110331</t>
  </si>
  <si>
    <t>Vybourání dřevěných rámů oken dvojitých pl. 2 m2</t>
  </si>
  <si>
    <t>S_</t>
  </si>
  <si>
    <t>766</t>
  </si>
  <si>
    <t>77,4</t>
  </si>
  <si>
    <t>Přesuny sutí</t>
  </si>
  <si>
    <t>IIČVDF</t>
  </si>
  <si>
    <t>Mont prac</t>
  </si>
  <si>
    <t>78_</t>
  </si>
  <si>
    <t>62_</t>
  </si>
  <si>
    <t>23</t>
  </si>
  <si>
    <t>t</t>
  </si>
  <si>
    <t>Vyvěšení dřevěných okenních křídel pl. do 1,5 m2</t>
  </si>
  <si>
    <t>Konstrukce truhlářské</t>
  </si>
  <si>
    <t>Začišťovací okenní lišta pro vnitřní omítku tl. 9 mm</t>
  </si>
  <si>
    <t>Pro volbu položky je rozhodující dopravní vzdálenost těžiště skládky a půdorysné plochy objektu. V položce jsou zakalkulovány i náklady na naložení suti na dopravní prostředek a složení</t>
  </si>
  <si>
    <t>JKSO:</t>
  </si>
  <si>
    <t>Položka je určena pro osazování rámů okenních dřevěných pro okna s křídly jednoduchými i zdvojenými, bez sdružených dveří nebo se sdruženými dveřmi na jakoukoliv cementovou maltu. V položce jsou zakalkulovány i náklady na kotvení rámů do zdiva. V položce nejsou zakalkulovány náklady na dodávku rámů, které se oceňují ve specifikaci PSV. Ztratné se nestanoví. Rámy ze dřeva tvrdého jednoduché i dvojité leštěné se oceňují položkami - 4211 až -4551.</t>
  </si>
  <si>
    <t>64</t>
  </si>
  <si>
    <t>DN celkem</t>
  </si>
  <si>
    <t>BUDE VYBRÁN</t>
  </si>
  <si>
    <t>GROUPCODE</t>
  </si>
  <si>
    <t>0</t>
  </si>
  <si>
    <t>Provozní vlivy</t>
  </si>
  <si>
    <t>5</t>
  </si>
  <si>
    <t>76_</t>
  </si>
  <si>
    <t>641952211R00</t>
  </si>
  <si>
    <t>Omítka vápenná  ostění - štuková</t>
  </si>
  <si>
    <t>Druh stavby:</t>
  </si>
  <si>
    <t>784</t>
  </si>
  <si>
    <t>96</t>
  </si>
  <si>
    <t>Zpracováno dne:</t>
  </si>
  <si>
    <t>Vyrovnávací potěr          tl. 50mm</t>
  </si>
  <si>
    <t>10</t>
  </si>
  <si>
    <t>58</t>
  </si>
  <si>
    <t>61110330</t>
  </si>
  <si>
    <t>14</t>
  </si>
  <si>
    <t>31</t>
  </si>
  <si>
    <t>979990160R00</t>
  </si>
  <si>
    <t>Množství</t>
  </si>
  <si>
    <t>Budovy občanské výstavby</t>
  </si>
  <si>
    <t>4*31</t>
  </si>
  <si>
    <t>Typ skupiny</t>
  </si>
  <si>
    <t>784164112R00</t>
  </si>
  <si>
    <t>Úpravy povrchů a osazování výplní otvorů</t>
  </si>
  <si>
    <t>61_</t>
  </si>
  <si>
    <t>19</t>
  </si>
  <si>
    <t>C</t>
  </si>
  <si>
    <t>Náklady (Kč)</t>
  </si>
  <si>
    <t>MĚSTO ŠLUKNOV</t>
  </si>
  <si>
    <t>IČO/DIČ:</t>
  </si>
  <si>
    <t>H01</t>
  </si>
  <si>
    <t>Ostatní</t>
  </si>
  <si>
    <t>Zpracoval:</t>
  </si>
  <si>
    <t>Vodorovné přemístění suti na skládku do 6000 m</t>
  </si>
  <si>
    <t>76</t>
  </si>
  <si>
    <t>26*13,178</t>
  </si>
  <si>
    <t>64_</t>
  </si>
  <si>
    <t>Zhotovitel</t>
  </si>
  <si>
    <t>610991111R00</t>
  </si>
  <si>
    <t>Začišťovací okenní lišta pro vnějš.omítku tl. 9 mm</t>
  </si>
  <si>
    <t>979083191R00</t>
  </si>
  <si>
    <t>2</t>
  </si>
  <si>
    <t>Projektant:</t>
  </si>
  <si>
    <t>ORN celkem</t>
  </si>
  <si>
    <t/>
  </si>
  <si>
    <t>17</t>
  </si>
  <si>
    <t>21</t>
  </si>
  <si>
    <t>Včetně případného složení na staveništní deponii</t>
  </si>
  <si>
    <t>Nakládání nebo překládání suti a vybouraných hmot</t>
  </si>
  <si>
    <t>vnější</t>
  </si>
  <si>
    <t>Úprava povrchů vnitřní</t>
  </si>
  <si>
    <t>Práce přesčas</t>
  </si>
  <si>
    <t>s přesunem hmot</t>
  </si>
  <si>
    <t>24*4</t>
  </si>
  <si>
    <t>61</t>
  </si>
  <si>
    <t>12</t>
  </si>
  <si>
    <t>Kulturní památka</t>
  </si>
  <si>
    <t>Bourání konstrukcí</t>
  </si>
  <si>
    <t>DPH 21%</t>
  </si>
  <si>
    <t>_</t>
  </si>
  <si>
    <t>ORN celkem z obj.</t>
  </si>
  <si>
    <t>Přesuny</t>
  </si>
  <si>
    <t>979086112R00</t>
  </si>
  <si>
    <t>MAT</t>
  </si>
  <si>
    <t>979083117R00</t>
  </si>
  <si>
    <t>8</t>
  </si>
  <si>
    <t>Celkem:</t>
  </si>
  <si>
    <t>Mimostav. doprava</t>
  </si>
  <si>
    <t>18</t>
  </si>
  <si>
    <t>DN celkem z obj.</t>
  </si>
  <si>
    <t>764_</t>
  </si>
  <si>
    <t>766690010RAB</t>
  </si>
  <si>
    <t>1,27*2,7*31</t>
  </si>
  <si>
    <t>FCC Česká republika, s.r.o., provozovna Žabčice  Líšeňská 35, 636 00  Brno Tel: +420 518 311 499, Fax: +420 518 311 499 Mobil: +420 602 240 639 e-mail: Jaroslav.Konecny@fcc-group.cz, www.fcc-group.e</t>
  </si>
  <si>
    <t>borovice cink 78,nátěr palisander, trojsklo U=0,7W/Km2,nalepovací příčka</t>
  </si>
  <si>
    <t>m</t>
  </si>
  <si>
    <t>Disperzní nátěr určený pro použití v interiérech i exteriérech, omyvatelný..  V položce je zakalkulováno i případné tmelení latexovým tmelem.</t>
  </si>
  <si>
    <t>968061112R00</t>
  </si>
  <si>
    <t>Oplechování parapetů včetně rohů Ti Zn, rš 80 mm</t>
  </si>
  <si>
    <t>11</t>
  </si>
  <si>
    <t>RTS II / 2022</t>
  </si>
  <si>
    <t>Objednatel:</t>
  </si>
  <si>
    <t>390</t>
  </si>
  <si>
    <t>Zakrývání výplní vnitřních otvorů</t>
  </si>
  <si>
    <t>764510410RT2</t>
  </si>
  <si>
    <t>PSV mat</t>
  </si>
  <si>
    <t>borovice cink 78,nátěr palisander,trojsklo U=0,7W/Km2,nalepovací příčka</t>
  </si>
  <si>
    <t>3</t>
  </si>
  <si>
    <t>Zhotovitel:</t>
  </si>
  <si>
    <t>96_</t>
  </si>
  <si>
    <t>784_</t>
  </si>
  <si>
    <t>Začátek výstavby:</t>
  </si>
  <si>
    <t>A</t>
  </si>
  <si>
    <t>Mont mat</t>
  </si>
  <si>
    <t>Poplatek za uložení - dřevo,sklo, skupina odpadu 200201</t>
  </si>
  <si>
    <t>pod parapety</t>
  </si>
  <si>
    <t>Slepý stavební rozpočet</t>
  </si>
  <si>
    <t>6,088+2,831</t>
  </si>
  <si>
    <t>63_</t>
  </si>
  <si>
    <t>Z_</t>
  </si>
  <si>
    <t>Úprava povrchů</t>
  </si>
  <si>
    <t xml:space="preserve"> </t>
  </si>
  <si>
    <t>19.12.2022</t>
  </si>
  <si>
    <t>ZÁKLADNÍ ŠKOLA</t>
  </si>
  <si>
    <t>Objednatel</t>
  </si>
  <si>
    <t>Dokončovací práce, demolice</t>
  </si>
  <si>
    <t>(Kč)</t>
  </si>
  <si>
    <t>Malba latexová HET univerzál., bílá, bez penetr.2x</t>
  </si>
  <si>
    <t>387*0,2</t>
  </si>
  <si>
    <t>Územní vlivy</t>
  </si>
  <si>
    <t>T</t>
  </si>
  <si>
    <t>Datum:</t>
  </si>
  <si>
    <t>m2</t>
  </si>
  <si>
    <t>Přesun hmot a sutí</t>
  </si>
  <si>
    <t>NUS z rozpočtu</t>
  </si>
  <si>
    <t>1</t>
  </si>
  <si>
    <t>7</t>
  </si>
  <si>
    <t>Rozměry</t>
  </si>
  <si>
    <t>Desky parapetní aglomer. dodávka a montáž</t>
  </si>
  <si>
    <t>Položek:</t>
  </si>
  <si>
    <t>NUS celkem</t>
  </si>
  <si>
    <t>Podlahy a podlahové konstrukce</t>
  </si>
  <si>
    <t>WORK</t>
  </si>
  <si>
    <t>H01_</t>
  </si>
  <si>
    <t>979082111R00</t>
  </si>
  <si>
    <t>Výplně otvorů</t>
  </si>
  <si>
    <t>632450026RA0</t>
  </si>
  <si>
    <t>HSV mat</t>
  </si>
  <si>
    <t>620991002R00</t>
  </si>
  <si>
    <t>Okno dřevěné dle PD 1270X2700</t>
  </si>
  <si>
    <t>81,3</t>
  </si>
  <si>
    <t>Zkrácený popis</t>
  </si>
  <si>
    <t>CELK</t>
  </si>
  <si>
    <t>62</t>
  </si>
  <si>
    <t>Okno dřevěné 1270x2000 dle PD</t>
  </si>
  <si>
    <t>Univerzální hrubozrnná akrylátová disperzní bílá matná barva na sádrokarton k okamžitému použití do vnitřních prostor, čistitelná vodou, paropropustná, odolná vůči otěru za sucha, vodou ředitelná, rychleschnoucí, doporučovaná na systémy KNAUF, RIGIPS, LAFARGE GIPS aj. Pro základní napouštěcí nátěr se ředí max. 0,1 l čisté vody na 1 kg barvy.</t>
  </si>
  <si>
    <t>borovice cink 78,nátěr palisander,trojsklo U=0,7W/Km2,nalepovací příčka  duplex</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</si>
</sst>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_);\-#,##0.00\ &quot;Kč&quot;"/>
    <numFmt numFmtId="165" formatCode="#,##0\ &quot;Kč&quot;_);\-#,##0\ &quot;Kč&quot;"/>
    <numFmt numFmtId="166" formatCode="#,##0\ &quot;Kč&quot;_);[Red]\-#,##0\ &quot;Kč&quot;"/>
    <numFmt numFmtId="167" formatCode="#,##0.00\ &quot;Kč&quot;_);[Red]\-#,##0.00\ &quot;Kč&quot;"/>
    <numFmt numFmtId="168" formatCode="_(* #,##0\ _);_(\-* #,##0\ ;_(* &quot;-&quot;\ _);_(@_)"/>
    <numFmt numFmtId="169" formatCode="_(* #,##0\ &quot;Kč&quot;_);_(\-* #,##0\ &quot;Kč&quot;;_(* &quot;-&quot;\ &quot;Kč&quot;_);_(@_)"/>
    <numFmt numFmtId="170" formatCode="_(* #,##0.00\ &quot;Kč&quot;_);_(\-* #,##0.00\ &quot;Kč&quot;;_(* &quot;-&quot;??\ &quot;Kč&quot;_);_(@_)"/>
    <numFmt numFmtId="171" formatCode="_(* #,##0.00\ _);_(\-* #,##0.00\ ;_(* &quot;-&quot;??\ _);_(@_)"/>
  </numFmts>
  <fonts count="56">
    <font>
      <sz val="8"/>
      <name val="Arial"/>
      <family val="0"/>
    </font>
    <font>
      <sz val="11"/>
      <name val="Calibri"/>
      <family val="0"/>
    </font>
    <font>
      <sz val="10"/>
      <color indexed="8"/>
      <name val="Arial"/>
      <family val="0"/>
    </font>
    <font>
      <b/>
      <sz val="10"/>
      <color indexed="8"/>
      <name val="Arial"/>
      <family val="0"/>
    </font>
    <font>
      <i/>
      <sz val="10"/>
      <color indexed="8"/>
      <name val="Arial"/>
      <family val="0"/>
    </font>
    <font>
      <b/>
      <sz val="12"/>
      <color indexed="8"/>
      <name val="Arial"/>
      <family val="0"/>
    </font>
    <font>
      <b/>
      <sz val="20"/>
      <color indexed="8"/>
      <name val="Arial"/>
      <family val="0"/>
    </font>
    <font>
      <sz val="18"/>
      <color indexed="8"/>
      <name val="Arial"/>
      <family val="0"/>
    </font>
    <font>
      <sz val="12"/>
      <color indexed="8"/>
      <name val="Arial"/>
      <family val="0"/>
    </font>
    <font>
      <b/>
      <sz val="18"/>
      <color indexed="8"/>
      <name val="Arial"/>
      <family val="0"/>
    </font>
    <font>
      <b/>
      <sz val="11"/>
      <color indexed="8"/>
      <name val="Arial"/>
      <family val="0"/>
    </font>
    <font>
      <i/>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family val="0"/>
    </font>
    <font>
      <i/>
      <sz val="10"/>
      <color rgb="FF000000"/>
      <name val="Arial"/>
      <family val="0"/>
    </font>
    <font>
      <b/>
      <sz val="10"/>
      <color rgb="FF000000"/>
      <name val="Arial"/>
      <family val="0"/>
    </font>
    <font>
      <b/>
      <sz val="20"/>
      <color rgb="FF000000"/>
      <name val="Arial"/>
      <family val="0"/>
    </font>
    <font>
      <sz val="12"/>
      <color rgb="FF000000"/>
      <name val="Arial"/>
      <family val="0"/>
    </font>
    <font>
      <b/>
      <sz val="12"/>
      <color rgb="FF000000"/>
      <name val="Arial"/>
      <family val="0"/>
    </font>
    <font>
      <i/>
      <sz val="8"/>
      <color rgb="FF000000"/>
      <name val="Arial"/>
      <family val="0"/>
    </font>
    <font>
      <sz val="18"/>
      <color rgb="FF000000"/>
      <name val="Arial"/>
      <family val="0"/>
    </font>
    <font>
      <b/>
      <sz val="18"/>
      <color rgb="FF000000"/>
      <name val="Arial"/>
      <family val="0"/>
    </font>
    <font>
      <b/>
      <sz val="11"/>
      <color rgb="FF0000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C0C0"/>
        <bgColor indexed="64"/>
      </patternFill>
    </fill>
  </fills>
  <borders count="4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color rgb="FF000000"/>
      </bottom>
    </border>
    <border>
      <left/>
      <right style="thin">
        <color rgb="FF000000"/>
      </right>
      <top>
        <color rgb="FF000000"/>
      </top>
      <bottom/>
    </border>
    <border>
      <left style="medium">
        <color rgb="FF000000"/>
      </left>
      <right style="thin">
        <color rgb="FF000000"/>
      </right>
      <top/>
      <bottom style="mediu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style="medium">
        <color rgb="FF000000"/>
      </bottom>
    </border>
    <border>
      <left/>
      <right style="thin">
        <color rgb="FF000000"/>
      </right>
      <top/>
      <bottom style="thin">
        <color rgb="FF000000"/>
      </bottom>
    </border>
    <border>
      <left/>
      <right/>
      <top/>
      <bottom style="medium">
        <color rgb="FF000000"/>
      </bottom>
    </border>
    <border>
      <left style="thin">
        <color rgb="FF000000"/>
      </left>
      <right style="thin">
        <color rgb="FF000000"/>
      </right>
      <top>
        <color rgb="FF000000"/>
      </top>
      <bottom/>
    </border>
    <border>
      <left style="thin">
        <color rgb="FF000000"/>
      </left>
      <right style="thin">
        <color rgb="FF000000"/>
      </right>
      <top/>
      <bottom style="thin">
        <color rgb="FF000000"/>
      </bottom>
    </border>
    <border>
      <left>
        <color rgb="FF000000"/>
      </left>
      <right style="medium">
        <color rgb="FF000000"/>
      </right>
      <top>
        <color rgb="FF000000"/>
      </top>
      <bottom style="medium">
        <color rgb="FF000000"/>
      </bottom>
    </border>
    <border>
      <left style="thin">
        <color rgb="FF000000"/>
      </left>
      <right/>
      <top/>
      <bottom/>
    </border>
    <border>
      <left style="thin">
        <color rgb="FF000000"/>
      </left>
      <right style="thin">
        <color rgb="FF000000"/>
      </right>
      <top style="thin">
        <color rgb="FF000000"/>
      </top>
      <bottom style="thin">
        <color rgb="FF000000"/>
      </bottom>
    </border>
    <border>
      <left/>
      <right style="medium">
        <color rgb="FF000000"/>
      </right>
      <top style="medium">
        <color rgb="FF000000"/>
      </top>
      <bottom style="thin">
        <color rgb="FF000000"/>
      </bottom>
    </border>
    <border>
      <left>
        <color rgb="FF000000"/>
      </left>
      <right style="thin">
        <color rgb="FF000000"/>
      </right>
      <top style="medium">
        <color rgb="FF000000"/>
      </top>
      <bottom/>
    </border>
    <border>
      <left style="medium">
        <color rgb="FF000000"/>
      </left>
      <right style="thin">
        <color rgb="FF000000"/>
      </right>
      <top style="medium">
        <color rgb="FF000000"/>
      </top>
      <bottom/>
    </border>
    <border>
      <left>
        <color rgb="FF000000"/>
      </left>
      <right/>
      <top style="medium">
        <color rgb="FF000000"/>
      </top>
      <bottom/>
    </border>
    <border>
      <left style="medium">
        <color rgb="FF000000"/>
      </left>
      <right style="medium">
        <color rgb="FF000000"/>
      </right>
      <top style="medium">
        <color rgb="FF000000"/>
      </top>
      <bottom/>
    </border>
    <border>
      <left style="thin">
        <color rgb="FF000000"/>
      </left>
      <right/>
      <top>
        <color rgb="FF000000"/>
      </top>
      <bottom style="thin">
        <color rgb="FF000000"/>
      </bottom>
    </border>
    <border>
      <left style="medium">
        <color rgb="FF000000"/>
      </left>
      <right style="medium">
        <color rgb="FF000000"/>
      </right>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color rgb="FF000000"/>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s>
  <cellStyleXfs count="61">
    <xf numFmtId="0" fontId="0"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21">
    <xf numFmtId="0" fontId="1" fillId="0" borderId="0" xfId="0" applyNumberFormat="1" applyFont="1" applyFill="1" applyBorder="1" applyAlignment="1" applyProtection="1">
      <alignment/>
      <protection/>
    </xf>
    <xf numFmtId="0" fontId="46" fillId="33" borderId="0" xfId="0" applyNumberFormat="1" applyFont="1" applyFill="1" applyBorder="1" applyAlignment="1" applyProtection="1">
      <alignment horizontal="left" vertical="center"/>
      <protection/>
    </xf>
    <xf numFmtId="4" fontId="46" fillId="0" borderId="0" xfId="0" applyNumberFormat="1" applyFont="1" applyFill="1" applyBorder="1" applyAlignment="1" applyProtection="1">
      <alignment horizontal="right" vertical="center"/>
      <protection/>
    </xf>
    <xf numFmtId="0" fontId="47" fillId="0" borderId="10" xfId="0" applyNumberFormat="1" applyFont="1" applyFill="1" applyBorder="1" applyAlignment="1" applyProtection="1">
      <alignment horizontal="right" vertical="center"/>
      <protection/>
    </xf>
    <xf numFmtId="4" fontId="46" fillId="0" borderId="11" xfId="0" applyNumberFormat="1" applyFont="1" applyFill="1" applyBorder="1" applyAlignment="1" applyProtection="1">
      <alignment horizontal="right" vertical="center"/>
      <protection/>
    </xf>
    <xf numFmtId="0" fontId="46" fillId="0" borderId="0" xfId="0" applyNumberFormat="1" applyFont="1" applyFill="1" applyBorder="1" applyAlignment="1" applyProtection="1">
      <alignment horizontal="left" vertical="center"/>
      <protection/>
    </xf>
    <xf numFmtId="0" fontId="48" fillId="33" borderId="11" xfId="0" applyNumberFormat="1" applyFont="1" applyFill="1" applyBorder="1" applyAlignment="1" applyProtection="1">
      <alignment horizontal="right" vertical="center"/>
      <protection/>
    </xf>
    <xf numFmtId="0" fontId="48" fillId="33" borderId="11" xfId="0" applyNumberFormat="1" applyFont="1" applyFill="1" applyBorder="1" applyAlignment="1" applyProtection="1">
      <alignment horizontal="right" vertical="center"/>
      <protection/>
    </xf>
    <xf numFmtId="0" fontId="46" fillId="0" borderId="12" xfId="0" applyNumberFormat="1" applyFont="1" applyFill="1" applyBorder="1" applyAlignment="1" applyProtection="1">
      <alignment horizontal="left" vertical="center"/>
      <protection/>
    </xf>
    <xf numFmtId="0" fontId="49" fillId="33" borderId="13" xfId="0" applyNumberFormat="1" applyFont="1" applyFill="1" applyBorder="1" applyAlignment="1" applyProtection="1">
      <alignment horizontal="center" vertical="center"/>
      <protection/>
    </xf>
    <xf numFmtId="4" fontId="50" fillId="0" borderId="14" xfId="0" applyNumberFormat="1" applyFont="1" applyFill="1" applyBorder="1" applyAlignment="1" applyProtection="1">
      <alignment horizontal="right" vertical="center"/>
      <protection/>
    </xf>
    <xf numFmtId="0" fontId="50" fillId="0" borderId="15" xfId="0" applyNumberFormat="1" applyFont="1" applyFill="1" applyBorder="1" applyAlignment="1" applyProtection="1">
      <alignment horizontal="right" vertical="center"/>
      <protection/>
    </xf>
    <xf numFmtId="0" fontId="48" fillId="0" borderId="16" xfId="0" applyNumberFormat="1" applyFont="1" applyFill="1" applyBorder="1" applyAlignment="1" applyProtection="1">
      <alignment horizontal="center" vertical="center"/>
      <protection/>
    </xf>
    <xf numFmtId="0" fontId="48" fillId="33" borderId="0" xfId="0" applyNumberFormat="1" applyFont="1" applyFill="1" applyBorder="1" applyAlignment="1" applyProtection="1">
      <alignment horizontal="left" vertical="center"/>
      <protection/>
    </xf>
    <xf numFmtId="0" fontId="51" fillId="0" borderId="17" xfId="0" applyNumberFormat="1" applyFont="1" applyFill="1" applyBorder="1" applyAlignment="1" applyProtection="1">
      <alignment horizontal="left" vertical="center"/>
      <protection/>
    </xf>
    <xf numFmtId="4" fontId="50" fillId="0" borderId="13" xfId="0" applyNumberFormat="1" applyFont="1" applyFill="1" applyBorder="1" applyAlignment="1" applyProtection="1">
      <alignment horizontal="right" vertical="center"/>
      <protection/>
    </xf>
    <xf numFmtId="0" fontId="51" fillId="0" borderId="18" xfId="0" applyNumberFormat="1" applyFont="1" applyFill="1" applyBorder="1" applyAlignment="1" applyProtection="1">
      <alignment horizontal="left" vertical="center"/>
      <protection/>
    </xf>
    <xf numFmtId="0" fontId="48" fillId="0" borderId="19" xfId="0" applyNumberFormat="1" applyFont="1" applyFill="1" applyBorder="1" applyAlignment="1" applyProtection="1">
      <alignment horizontal="center" vertical="center"/>
      <protection/>
    </xf>
    <xf numFmtId="4" fontId="48" fillId="0" borderId="0" xfId="0" applyNumberFormat="1" applyFont="1" applyFill="1" applyBorder="1" applyAlignment="1" applyProtection="1">
      <alignment horizontal="right" vertical="center"/>
      <protection/>
    </xf>
    <xf numFmtId="4" fontId="46" fillId="0" borderId="10" xfId="0" applyNumberFormat="1" applyFont="1" applyFill="1" applyBorder="1" applyAlignment="1" applyProtection="1">
      <alignment horizontal="right" vertical="center"/>
      <protection/>
    </xf>
    <xf numFmtId="0" fontId="48" fillId="0" borderId="12" xfId="0" applyNumberFormat="1" applyFont="1" applyFill="1" applyBorder="1" applyAlignment="1" applyProtection="1">
      <alignment horizontal="center" vertical="center"/>
      <protection/>
    </xf>
    <xf numFmtId="0" fontId="46" fillId="0" borderId="20"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left" vertical="center"/>
      <protection/>
    </xf>
    <xf numFmtId="4" fontId="50" fillId="0" borderId="15" xfId="0" applyNumberFormat="1" applyFont="1" applyFill="1" applyBorder="1" applyAlignment="1" applyProtection="1">
      <alignment horizontal="right" vertical="center"/>
      <protection/>
    </xf>
    <xf numFmtId="4" fontId="47" fillId="0" borderId="0" xfId="0" applyNumberFormat="1" applyFont="1" applyFill="1" applyBorder="1" applyAlignment="1" applyProtection="1">
      <alignment horizontal="right" vertical="center"/>
      <protection/>
    </xf>
    <xf numFmtId="0" fontId="49" fillId="33" borderId="21" xfId="0" applyNumberFormat="1" applyFont="1" applyFill="1" applyBorder="1" applyAlignment="1" applyProtection="1">
      <alignment horizontal="center" vertical="center"/>
      <protection/>
    </xf>
    <xf numFmtId="0" fontId="48" fillId="0" borderId="22" xfId="0" applyNumberFormat="1" applyFont="1" applyFill="1" applyBorder="1" applyAlignment="1" applyProtection="1">
      <alignment horizontal="center" vertical="center"/>
      <protection/>
    </xf>
    <xf numFmtId="0" fontId="48" fillId="33" borderId="0" xfId="0" applyNumberFormat="1" applyFont="1" applyFill="1" applyBorder="1" applyAlignment="1" applyProtection="1">
      <alignment horizontal="right" vertical="center"/>
      <protection/>
    </xf>
    <xf numFmtId="4" fontId="48" fillId="33" borderId="0" xfId="0" applyNumberFormat="1" applyFont="1" applyFill="1" applyBorder="1" applyAlignment="1" applyProtection="1">
      <alignment horizontal="right" vertical="center"/>
      <protection/>
    </xf>
    <xf numFmtId="0" fontId="48" fillId="0" borderId="23" xfId="0" applyNumberFormat="1" applyFont="1" applyFill="1" applyBorder="1" applyAlignment="1" applyProtection="1">
      <alignment horizontal="left" vertical="center"/>
      <protection/>
    </xf>
    <xf numFmtId="4" fontId="50" fillId="0" borderId="11" xfId="0" applyNumberFormat="1" applyFont="1" applyFill="1" applyBorder="1" applyAlignment="1" applyProtection="1">
      <alignment horizontal="right" vertical="center"/>
      <protection/>
    </xf>
    <xf numFmtId="0" fontId="46" fillId="33" borderId="0"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protection/>
    </xf>
    <xf numFmtId="0" fontId="48" fillId="0" borderId="24" xfId="0" applyNumberFormat="1" applyFont="1" applyFill="1" applyBorder="1" applyAlignment="1" applyProtection="1">
      <alignment horizontal="left" vertical="center"/>
      <protection/>
    </xf>
    <xf numFmtId="0" fontId="46" fillId="0" borderId="0" xfId="0" applyNumberFormat="1" applyFont="1" applyFill="1" applyBorder="1" applyAlignment="1" applyProtection="1">
      <alignment horizontal="right" vertical="center"/>
      <protection/>
    </xf>
    <xf numFmtId="0" fontId="48" fillId="0" borderId="25"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protection/>
    </xf>
    <xf numFmtId="0" fontId="48" fillId="0" borderId="26" xfId="0" applyNumberFormat="1" applyFont="1" applyFill="1" applyBorder="1" applyAlignment="1" applyProtection="1">
      <alignment horizontal="center" vertical="center"/>
      <protection/>
    </xf>
    <xf numFmtId="4" fontId="46" fillId="0" borderId="15" xfId="0" applyNumberFormat="1" applyFont="1" applyFill="1" applyBorder="1" applyAlignment="1" applyProtection="1">
      <alignment horizontal="right" vertical="center"/>
      <protection/>
    </xf>
    <xf numFmtId="0" fontId="50" fillId="0" borderId="15" xfId="0" applyNumberFormat="1" applyFont="1" applyFill="1" applyBorder="1" applyAlignment="1" applyProtection="1">
      <alignment horizontal="left" vertical="center"/>
      <protection/>
    </xf>
    <xf numFmtId="4" fontId="51" fillId="33" borderId="15" xfId="0" applyNumberFormat="1" applyFont="1" applyFill="1" applyBorder="1" applyAlignment="1" applyProtection="1">
      <alignment horizontal="right" vertical="center"/>
      <protection/>
    </xf>
    <xf numFmtId="0" fontId="48" fillId="33" borderId="0" xfId="0" applyNumberFormat="1" applyFont="1" applyFill="1" applyBorder="1" applyAlignment="1" applyProtection="1">
      <alignment horizontal="right" vertical="center"/>
      <protection/>
    </xf>
    <xf numFmtId="0" fontId="46" fillId="33" borderId="20" xfId="0" applyNumberFormat="1" applyFont="1" applyFill="1" applyBorder="1" applyAlignment="1" applyProtection="1">
      <alignment horizontal="left" vertical="center"/>
      <protection/>
    </xf>
    <xf numFmtId="0" fontId="48" fillId="0" borderId="23" xfId="0" applyNumberFormat="1" applyFont="1" applyFill="1" applyBorder="1" applyAlignment="1" applyProtection="1">
      <alignment horizontal="center" vertical="center"/>
      <protection/>
    </xf>
    <xf numFmtId="0" fontId="48" fillId="0" borderId="14" xfId="0" applyNumberFormat="1" applyFont="1" applyFill="1" applyBorder="1" applyAlignment="1" applyProtection="1">
      <alignment horizontal="center" vertical="center"/>
      <protection/>
    </xf>
    <xf numFmtId="0" fontId="46" fillId="0" borderId="27" xfId="0" applyNumberFormat="1" applyFont="1" applyFill="1" applyBorder="1" applyAlignment="1" applyProtection="1">
      <alignment horizontal="left" vertical="center"/>
      <protection/>
    </xf>
    <xf numFmtId="0" fontId="48" fillId="0" borderId="28" xfId="0" applyNumberFormat="1" applyFont="1" applyFill="1" applyBorder="1" applyAlignment="1" applyProtection="1">
      <alignment horizontal="center" vertical="center"/>
      <protection/>
    </xf>
    <xf numFmtId="0" fontId="52" fillId="0" borderId="0" xfId="0" applyNumberFormat="1" applyFont="1" applyFill="1" applyBorder="1" applyAlignment="1" applyProtection="1">
      <alignment horizontal="left" vertical="center"/>
      <protection/>
    </xf>
    <xf numFmtId="0" fontId="46" fillId="0" borderId="14" xfId="0" applyNumberFormat="1" applyFont="1" applyFill="1" applyBorder="1" applyAlignment="1" applyProtection="1">
      <alignment horizontal="left" vertical="center"/>
      <protection/>
    </xf>
    <xf numFmtId="0" fontId="48" fillId="0" borderId="0" xfId="0" applyNumberFormat="1" applyFont="1" applyFill="1" applyBorder="1" applyAlignment="1" applyProtection="1">
      <alignment horizontal="right" vertical="center"/>
      <protection/>
    </xf>
    <xf numFmtId="0" fontId="46" fillId="0" borderId="11" xfId="0" applyNumberFormat="1" applyFont="1" applyFill="1" applyBorder="1" applyAlignment="1" applyProtection="1">
      <alignment horizontal="right" vertical="center"/>
      <protection/>
    </xf>
    <xf numFmtId="0" fontId="50" fillId="0" borderId="11" xfId="0" applyNumberFormat="1" applyFont="1" applyFill="1" applyBorder="1" applyAlignment="1" applyProtection="1">
      <alignment horizontal="right" vertical="center"/>
      <protection/>
    </xf>
    <xf numFmtId="0" fontId="46" fillId="0" borderId="24" xfId="0" applyNumberFormat="1" applyFont="1" applyFill="1" applyBorder="1" applyAlignment="1" applyProtection="1">
      <alignment horizontal="left" vertical="center"/>
      <protection/>
    </xf>
    <xf numFmtId="0" fontId="1" fillId="0" borderId="27" xfId="0" applyNumberFormat="1" applyFont="1" applyFill="1" applyBorder="1" applyAlignment="1" applyProtection="1">
      <alignment/>
      <protection/>
    </xf>
    <xf numFmtId="0" fontId="48" fillId="33" borderId="0" xfId="0" applyNumberFormat="1" applyFont="1" applyFill="1" applyBorder="1" applyAlignment="1" applyProtection="1">
      <alignment horizontal="left" vertical="center"/>
      <protection/>
    </xf>
    <xf numFmtId="0" fontId="46" fillId="33" borderId="20"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right" vertical="center"/>
      <protection/>
    </xf>
    <xf numFmtId="0" fontId="48" fillId="0" borderId="12" xfId="0" applyNumberFormat="1" applyFont="1" applyFill="1" applyBorder="1" applyAlignment="1" applyProtection="1">
      <alignment horizontal="left" vertical="center"/>
      <protection/>
    </xf>
    <xf numFmtId="4" fontId="51" fillId="33" borderId="13" xfId="0" applyNumberFormat="1" applyFont="1" applyFill="1" applyBorder="1" applyAlignment="1" applyProtection="1">
      <alignment horizontal="right" vertical="center"/>
      <protection/>
    </xf>
    <xf numFmtId="4" fontId="48" fillId="33" borderId="0" xfId="0" applyNumberFormat="1" applyFont="1" applyFill="1" applyBorder="1" applyAlignment="1" applyProtection="1">
      <alignment horizontal="right" vertical="center"/>
      <protection/>
    </xf>
    <xf numFmtId="0" fontId="53" fillId="0" borderId="0" xfId="0" applyNumberFormat="1" applyFont="1" applyFill="1" applyBorder="1" applyAlignment="1" applyProtection="1">
      <alignment horizontal="center" vertical="center"/>
      <protection/>
    </xf>
    <xf numFmtId="0" fontId="46" fillId="0" borderId="29" xfId="0" applyNumberFormat="1" applyFont="1" applyFill="1" applyBorder="1" applyAlignment="1" applyProtection="1">
      <alignment horizontal="left" vertical="center" wrapText="1"/>
      <protection/>
    </xf>
    <xf numFmtId="0" fontId="46" fillId="0" borderId="30" xfId="0" applyNumberFormat="1" applyFont="1" applyFill="1" applyBorder="1" applyAlignment="1" applyProtection="1">
      <alignment horizontal="left" vertical="center"/>
      <protection/>
    </xf>
    <xf numFmtId="0" fontId="46" fillId="0" borderId="20" xfId="0" applyNumberFormat="1" applyFont="1" applyFill="1" applyBorder="1" applyAlignment="1" applyProtection="1">
      <alignment horizontal="left" vertical="center"/>
      <protection/>
    </xf>
    <xf numFmtId="0" fontId="46" fillId="0" borderId="0" xfId="0" applyNumberFormat="1" applyFont="1" applyFill="1" applyBorder="1" applyAlignment="1" applyProtection="1">
      <alignment horizontal="left" vertical="center"/>
      <protection/>
    </xf>
    <xf numFmtId="0" fontId="46" fillId="0" borderId="20" xfId="0" applyNumberFormat="1" applyFont="1" applyFill="1" applyBorder="1" applyAlignment="1" applyProtection="1">
      <alignment horizontal="left" vertical="center" wrapText="1"/>
      <protection/>
    </xf>
    <xf numFmtId="0" fontId="46" fillId="0" borderId="30" xfId="0" applyNumberFormat="1" applyFont="1" applyFill="1" applyBorder="1" applyAlignment="1" applyProtection="1">
      <alignment horizontal="left" vertical="center" wrapText="1"/>
      <protection/>
    </xf>
    <xf numFmtId="0" fontId="46" fillId="0" borderId="0" xfId="0" applyNumberFormat="1" applyFont="1" applyFill="1" applyBorder="1" applyAlignment="1" applyProtection="1">
      <alignment horizontal="left" vertical="center" wrapText="1"/>
      <protection/>
    </xf>
    <xf numFmtId="0" fontId="48" fillId="0" borderId="30" xfId="0" applyNumberFormat="1" applyFont="1" applyFill="1" applyBorder="1" applyAlignment="1" applyProtection="1">
      <alignment horizontal="left" vertical="center" wrapText="1"/>
      <protection/>
    </xf>
    <xf numFmtId="0" fontId="48" fillId="0" borderId="30" xfId="0" applyNumberFormat="1" applyFont="1" applyFill="1" applyBorder="1" applyAlignment="1" applyProtection="1">
      <alignment horizontal="left" vertical="center"/>
      <protection/>
    </xf>
    <xf numFmtId="0" fontId="48" fillId="0" borderId="0" xfId="0" applyNumberFormat="1" applyFont="1" applyFill="1" applyBorder="1" applyAlignment="1" applyProtection="1">
      <alignment horizontal="left" vertical="center"/>
      <protection/>
    </xf>
    <xf numFmtId="0" fontId="46" fillId="0" borderId="31" xfId="0" applyNumberFormat="1" applyFont="1" applyFill="1" applyBorder="1" applyAlignment="1" applyProtection="1">
      <alignment horizontal="left" vertical="center"/>
      <protection/>
    </xf>
    <xf numFmtId="0" fontId="46" fillId="0" borderId="11" xfId="0" applyNumberFormat="1" applyFont="1" applyFill="1" applyBorder="1" applyAlignment="1" applyProtection="1">
      <alignment horizontal="left" vertical="center"/>
      <protection/>
    </xf>
    <xf numFmtId="0" fontId="48" fillId="0" borderId="25" xfId="0" applyNumberFormat="1" applyFont="1" applyFill="1" applyBorder="1" applyAlignment="1" applyProtection="1">
      <alignment horizontal="left" vertical="center"/>
      <protection/>
    </xf>
    <xf numFmtId="0" fontId="48" fillId="0" borderId="23" xfId="0" applyNumberFormat="1" applyFont="1" applyFill="1" applyBorder="1" applyAlignment="1" applyProtection="1">
      <alignment horizontal="left" vertical="center"/>
      <protection/>
    </xf>
    <xf numFmtId="0" fontId="48" fillId="0" borderId="16" xfId="0" applyNumberFormat="1" applyFont="1" applyFill="1" applyBorder="1" applyAlignment="1" applyProtection="1">
      <alignment horizontal="left" vertical="center"/>
      <protection/>
    </xf>
    <xf numFmtId="0" fontId="48" fillId="0" borderId="14" xfId="0" applyNumberFormat="1" applyFont="1" applyFill="1" applyBorder="1" applyAlignment="1" applyProtection="1">
      <alignment horizontal="left" vertical="center"/>
      <protection/>
    </xf>
    <xf numFmtId="0" fontId="48" fillId="0" borderId="32" xfId="0" applyNumberFormat="1" applyFont="1" applyFill="1" applyBorder="1" applyAlignment="1" applyProtection="1">
      <alignment horizontal="center" vertical="center"/>
      <protection/>
    </xf>
    <xf numFmtId="0" fontId="48" fillId="0" borderId="33" xfId="0" applyNumberFormat="1" applyFont="1" applyFill="1" applyBorder="1" applyAlignment="1" applyProtection="1">
      <alignment horizontal="center" vertical="center"/>
      <protection/>
    </xf>
    <xf numFmtId="0" fontId="48" fillId="0" borderId="22" xfId="0" applyNumberFormat="1" applyFont="1" applyFill="1" applyBorder="1" applyAlignment="1" applyProtection="1">
      <alignment horizontal="center" vertical="center"/>
      <protection/>
    </xf>
    <xf numFmtId="0" fontId="48" fillId="33" borderId="0"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left" vertical="center" wrapText="1"/>
      <protection/>
    </xf>
    <xf numFmtId="0" fontId="47" fillId="0" borderId="0" xfId="0" applyNumberFormat="1" applyFont="1" applyFill="1" applyBorder="1" applyAlignment="1" applyProtection="1">
      <alignment horizontal="left" vertical="center"/>
      <protection/>
    </xf>
    <xf numFmtId="0" fontId="47" fillId="0" borderId="11"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horizontal="left" vertical="center"/>
      <protection/>
    </xf>
    <xf numFmtId="0" fontId="47" fillId="0" borderId="15" xfId="0" applyNumberFormat="1" applyFont="1" applyFill="1" applyBorder="1" applyAlignment="1" applyProtection="1">
      <alignment horizontal="left" vertical="center"/>
      <protection/>
    </xf>
    <xf numFmtId="0" fontId="46" fillId="0" borderId="25" xfId="0" applyNumberFormat="1" applyFont="1" applyFill="1" applyBorder="1" applyAlignment="1" applyProtection="1">
      <alignment horizontal="left" vertical="center"/>
      <protection/>
    </xf>
    <xf numFmtId="0" fontId="46" fillId="0" borderId="10" xfId="0" applyNumberFormat="1" applyFont="1" applyFill="1" applyBorder="1" applyAlignment="1" applyProtection="1">
      <alignment horizontal="left" vertical="center"/>
      <protection/>
    </xf>
    <xf numFmtId="0" fontId="53" fillId="0" borderId="0" xfId="0" applyNumberFormat="1" applyFont="1" applyFill="1" applyBorder="1" applyAlignment="1" applyProtection="1">
      <alignment horizontal="center" vertical="center" wrapText="1"/>
      <protection/>
    </xf>
    <xf numFmtId="0" fontId="46" fillId="0" borderId="27" xfId="0" applyNumberFormat="1" applyFont="1" applyFill="1" applyBorder="1" applyAlignment="1" applyProtection="1">
      <alignment horizontal="left" vertical="center"/>
      <protection/>
    </xf>
    <xf numFmtId="1" fontId="46" fillId="0" borderId="11" xfId="0" applyNumberFormat="1" applyFont="1" applyFill="1" applyBorder="1" applyAlignment="1" applyProtection="1">
      <alignment horizontal="left" vertical="center"/>
      <protection/>
    </xf>
    <xf numFmtId="0" fontId="46" fillId="0" borderId="11" xfId="0" applyNumberFormat="1" applyFont="1" applyFill="1" applyBorder="1" applyAlignment="1" applyProtection="1">
      <alignment horizontal="left" vertical="center" wrapText="1"/>
      <protection/>
    </xf>
    <xf numFmtId="0" fontId="46" fillId="0" borderId="15" xfId="0" applyNumberFormat="1" applyFont="1" applyFill="1" applyBorder="1" applyAlignment="1" applyProtection="1">
      <alignment horizontal="left" vertical="center"/>
      <protection/>
    </xf>
    <xf numFmtId="0" fontId="54" fillId="0" borderId="0" xfId="0" applyNumberFormat="1" applyFont="1" applyFill="1" applyBorder="1" applyAlignment="1" applyProtection="1">
      <alignment horizontal="center" vertical="center"/>
      <protection/>
    </xf>
    <xf numFmtId="0" fontId="55" fillId="0" borderId="34" xfId="0" applyNumberFormat="1" applyFont="1" applyFill="1" applyBorder="1" applyAlignment="1" applyProtection="1">
      <alignment horizontal="left" vertical="center"/>
      <protection/>
    </xf>
    <xf numFmtId="0" fontId="55" fillId="0" borderId="13" xfId="0" applyNumberFormat="1" applyFont="1" applyFill="1" applyBorder="1" applyAlignment="1" applyProtection="1">
      <alignment horizontal="left" vertical="center"/>
      <protection/>
    </xf>
    <xf numFmtId="0" fontId="51" fillId="0" borderId="27" xfId="0" applyNumberFormat="1" applyFont="1" applyFill="1" applyBorder="1" applyAlignment="1" applyProtection="1">
      <alignment horizontal="left" vertical="center"/>
      <protection/>
    </xf>
    <xf numFmtId="0" fontId="51" fillId="0" borderId="15" xfId="0" applyNumberFormat="1" applyFont="1" applyFill="1" applyBorder="1" applyAlignment="1" applyProtection="1">
      <alignment horizontal="left" vertical="center"/>
      <protection/>
    </xf>
    <xf numFmtId="0" fontId="51" fillId="0" borderId="20" xfId="0" applyNumberFormat="1" applyFont="1" applyFill="1" applyBorder="1" applyAlignment="1" applyProtection="1">
      <alignment horizontal="left" vertical="center"/>
      <protection/>
    </xf>
    <xf numFmtId="0" fontId="51" fillId="0" borderId="11" xfId="0" applyNumberFormat="1" applyFont="1" applyFill="1" applyBorder="1" applyAlignment="1" applyProtection="1">
      <alignment horizontal="left" vertical="center"/>
      <protection/>
    </xf>
    <xf numFmtId="0" fontId="51" fillId="0" borderId="35" xfId="0" applyNumberFormat="1" applyFont="1" applyFill="1" applyBorder="1" applyAlignment="1" applyProtection="1">
      <alignment horizontal="left" vertical="center"/>
      <protection/>
    </xf>
    <xf numFmtId="0" fontId="51" fillId="0" borderId="13" xfId="0" applyNumberFormat="1" applyFont="1" applyFill="1" applyBorder="1" applyAlignment="1" applyProtection="1">
      <alignment horizontal="left" vertical="center"/>
      <protection/>
    </xf>
    <xf numFmtId="0" fontId="50" fillId="0" borderId="10" xfId="0" applyNumberFormat="1" applyFont="1" applyFill="1" applyBorder="1" applyAlignment="1" applyProtection="1">
      <alignment horizontal="left" vertical="center"/>
      <protection/>
    </xf>
    <xf numFmtId="0" fontId="50" fillId="0" borderId="15" xfId="0" applyNumberFormat="1" applyFont="1" applyFill="1" applyBorder="1" applyAlignment="1" applyProtection="1">
      <alignment horizontal="left" vertical="center"/>
      <protection/>
    </xf>
    <xf numFmtId="0" fontId="50" fillId="0" borderId="0" xfId="0" applyNumberFormat="1" applyFont="1" applyFill="1" applyBorder="1" applyAlignment="1" applyProtection="1">
      <alignment horizontal="left" vertical="center"/>
      <protection/>
    </xf>
    <xf numFmtId="0" fontId="50" fillId="0" borderId="11" xfId="0" applyNumberFormat="1" applyFont="1" applyFill="1" applyBorder="1" applyAlignment="1" applyProtection="1">
      <alignment horizontal="left" vertical="center"/>
      <protection/>
    </xf>
    <xf numFmtId="0" fontId="51" fillId="0" borderId="34" xfId="0" applyNumberFormat="1" applyFont="1" applyFill="1" applyBorder="1" applyAlignment="1" applyProtection="1">
      <alignment horizontal="left" vertical="center"/>
      <protection/>
    </xf>
    <xf numFmtId="0" fontId="51" fillId="0" borderId="10" xfId="0" applyNumberFormat="1" applyFont="1" applyFill="1" applyBorder="1" applyAlignment="1" applyProtection="1">
      <alignment horizontal="left" vertical="center"/>
      <protection/>
    </xf>
    <xf numFmtId="0" fontId="51" fillId="33" borderId="35" xfId="0" applyNumberFormat="1" applyFont="1" applyFill="1" applyBorder="1" applyAlignment="1" applyProtection="1">
      <alignment horizontal="left" vertical="center"/>
      <protection/>
    </xf>
    <xf numFmtId="0" fontId="51" fillId="33" borderId="34" xfId="0" applyNumberFormat="1" applyFont="1" applyFill="1" applyBorder="1" applyAlignment="1" applyProtection="1">
      <alignment horizontal="left" vertical="center"/>
      <protection/>
    </xf>
    <xf numFmtId="0" fontId="51" fillId="33" borderId="27" xfId="0" applyNumberFormat="1" applyFont="1" applyFill="1" applyBorder="1" applyAlignment="1" applyProtection="1">
      <alignment horizontal="left" vertical="center"/>
      <protection/>
    </xf>
    <xf numFmtId="0" fontId="51" fillId="33" borderId="10" xfId="0" applyNumberFormat="1" applyFont="1" applyFill="1" applyBorder="1" applyAlignment="1" applyProtection="1">
      <alignment horizontal="left" vertical="center"/>
      <protection/>
    </xf>
    <xf numFmtId="0" fontId="50" fillId="0" borderId="36" xfId="0" applyNumberFormat="1" applyFont="1" applyFill="1" applyBorder="1" applyAlignment="1" applyProtection="1">
      <alignment horizontal="left" vertical="center"/>
      <protection/>
    </xf>
    <xf numFmtId="0" fontId="50" fillId="0" borderId="25" xfId="0" applyNumberFormat="1" applyFont="1" applyFill="1" applyBorder="1" applyAlignment="1" applyProtection="1">
      <alignment horizontal="left" vertical="center"/>
      <protection/>
    </xf>
    <xf numFmtId="0" fontId="50" fillId="0" borderId="37" xfId="0" applyNumberFormat="1" applyFont="1" applyFill="1" applyBorder="1" applyAlignment="1" applyProtection="1">
      <alignment horizontal="left" vertical="center"/>
      <protection/>
    </xf>
    <xf numFmtId="0" fontId="50" fillId="0" borderId="38" xfId="0" applyNumberFormat="1" applyFont="1" applyFill="1" applyBorder="1" applyAlignment="1" applyProtection="1">
      <alignment horizontal="left" vertical="center"/>
      <protection/>
    </xf>
    <xf numFmtId="0" fontId="50" fillId="0" borderId="39" xfId="0" applyNumberFormat="1" applyFont="1" applyFill="1" applyBorder="1" applyAlignment="1" applyProtection="1">
      <alignment horizontal="left" vertical="center"/>
      <protection/>
    </xf>
    <xf numFmtId="0" fontId="50" fillId="0" borderId="40" xfId="0" applyNumberFormat="1" applyFont="1" applyFill="1" applyBorder="1" applyAlignment="1" applyProtection="1">
      <alignment horizontal="left" vertical="center"/>
      <protection/>
    </xf>
    <xf numFmtId="0" fontId="50" fillId="0" borderId="16" xfId="0" applyNumberFormat="1" applyFont="1" applyFill="1" applyBorder="1" applyAlignment="1" applyProtection="1">
      <alignment horizontal="left" vertical="center"/>
      <protection/>
    </xf>
    <xf numFmtId="0" fontId="50" fillId="0" borderId="19" xfId="0" applyNumberFormat="1" applyFont="1" applyFill="1" applyBorder="1" applyAlignment="1" applyProtection="1">
      <alignment horizontal="left" vertical="center"/>
      <protection/>
    </xf>
  </cellXfs>
  <cellStyles count="4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0</xdr:row>
      <xdr:rowOff>666750</xdr:rowOff>
    </xdr:to>
    <xdr:pic>
      <xdr:nvPicPr>
        <xdr:cNvPr id="1" name="Picture 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0</xdr:row>
      <xdr:rowOff>666750</xdr:rowOff>
    </xdr:to>
    <xdr:pic>
      <xdr:nvPicPr>
        <xdr:cNvPr id="1" name="Picture 4"/>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285750</xdr:colOff>
      <xdr:row>0</xdr:row>
      <xdr:rowOff>666750</xdr:rowOff>
    </xdr:to>
    <xdr:pic>
      <xdr:nvPicPr>
        <xdr:cNvPr id="1" name="Picture 6"/>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285750</xdr:colOff>
      <xdr:row>0</xdr:row>
      <xdr:rowOff>666750</xdr:rowOff>
    </xdr:to>
    <xdr:pic>
      <xdr:nvPicPr>
        <xdr:cNvPr id="1" name="Picture 8"/>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10"/>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BL84"/>
  <sheetViews>
    <sheetView tabSelected="1" showOutlineSymbols="0" zoomScalePageLayoutView="0" workbookViewId="0" topLeftCell="A1">
      <pane ySplit="11" topLeftCell="A12" activePane="bottomLeft" state="frozen"/>
      <selection pane="topLeft" activeCell="A84" sqref="A84:M84"/>
      <selection pane="bottomLeft" activeCell="A1" sqref="A1:M1"/>
    </sheetView>
  </sheetViews>
  <sheetFormatPr defaultColWidth="14.16015625" defaultRowHeight="15" customHeight="1"/>
  <cols>
    <col min="1" max="1" width="4.66015625" style="0" customWidth="1"/>
    <col min="2" max="2" width="20.83203125" style="0" customWidth="1"/>
    <col min="3" max="3" width="13.66015625" style="0" customWidth="1"/>
    <col min="4" max="4" width="42.16015625" style="0" customWidth="1"/>
    <col min="5" max="5" width="5" style="0" customWidth="1"/>
    <col min="6" max="6" width="15" style="0" customWidth="1"/>
    <col min="7" max="7" width="14" style="0" customWidth="1"/>
    <col min="8" max="10" width="18.33203125" style="0" customWidth="1"/>
    <col min="11" max="13" width="13.66015625" style="0" customWidth="1"/>
    <col min="14" max="24" width="14.16015625" style="0" customWidth="1"/>
    <col min="25" max="64" width="14.16015625" style="0" hidden="1" customWidth="1"/>
  </cols>
  <sheetData>
    <row r="1" spans="1:13" ht="54.75" customHeight="1">
      <c r="A1" s="60" t="s">
        <v>210</v>
      </c>
      <c r="B1" s="60"/>
      <c r="C1" s="60"/>
      <c r="D1" s="60"/>
      <c r="E1" s="60"/>
      <c r="F1" s="60"/>
      <c r="G1" s="60"/>
      <c r="H1" s="60"/>
      <c r="I1" s="60"/>
      <c r="J1" s="60"/>
      <c r="K1" s="60"/>
      <c r="L1" s="60"/>
      <c r="M1" s="60"/>
    </row>
    <row r="2" spans="1:13" ht="15" customHeight="1">
      <c r="A2" s="61" t="s">
        <v>15</v>
      </c>
      <c r="B2" s="62"/>
      <c r="C2" s="68" t="s">
        <v>217</v>
      </c>
      <c r="D2" s="69"/>
      <c r="E2" s="62" t="s">
        <v>2</v>
      </c>
      <c r="F2" s="62"/>
      <c r="G2" s="62" t="s">
        <v>215</v>
      </c>
      <c r="H2" s="66" t="s">
        <v>195</v>
      </c>
      <c r="I2" s="66" t="s">
        <v>142</v>
      </c>
      <c r="J2" s="62"/>
      <c r="K2" s="62"/>
      <c r="L2" s="62"/>
      <c r="M2" s="71"/>
    </row>
    <row r="3" spans="1:13" ht="15" customHeight="1">
      <c r="A3" s="63"/>
      <c r="B3" s="64"/>
      <c r="C3" s="70"/>
      <c r="D3" s="70"/>
      <c r="E3" s="64"/>
      <c r="F3" s="64"/>
      <c r="G3" s="64"/>
      <c r="H3" s="64"/>
      <c r="I3" s="64"/>
      <c r="J3" s="64"/>
      <c r="K3" s="64"/>
      <c r="L3" s="64"/>
      <c r="M3" s="72"/>
    </row>
    <row r="4" spans="1:13" ht="15" customHeight="1">
      <c r="A4" s="65" t="s">
        <v>121</v>
      </c>
      <c r="B4" s="64"/>
      <c r="C4" s="67" t="s">
        <v>88</v>
      </c>
      <c r="D4" s="64"/>
      <c r="E4" s="64" t="s">
        <v>205</v>
      </c>
      <c r="F4" s="64"/>
      <c r="G4" s="64" t="s">
        <v>215</v>
      </c>
      <c r="H4" s="67" t="s">
        <v>156</v>
      </c>
      <c r="I4" s="67" t="s">
        <v>4</v>
      </c>
      <c r="J4" s="64"/>
      <c r="K4" s="64"/>
      <c r="L4" s="64"/>
      <c r="M4" s="72"/>
    </row>
    <row r="5" spans="1:13" ht="15" customHeight="1">
      <c r="A5" s="63"/>
      <c r="B5" s="64"/>
      <c r="C5" s="64"/>
      <c r="D5" s="64"/>
      <c r="E5" s="64"/>
      <c r="F5" s="64"/>
      <c r="G5" s="64"/>
      <c r="H5" s="64"/>
      <c r="I5" s="64"/>
      <c r="J5" s="64"/>
      <c r="K5" s="64"/>
      <c r="L5" s="64"/>
      <c r="M5" s="72"/>
    </row>
    <row r="6" spans="1:13" ht="15" customHeight="1">
      <c r="A6" s="65" t="s">
        <v>21</v>
      </c>
      <c r="B6" s="64"/>
      <c r="C6" s="67" t="s">
        <v>63</v>
      </c>
      <c r="D6" s="64"/>
      <c r="E6" s="64" t="s">
        <v>70</v>
      </c>
      <c r="F6" s="64"/>
      <c r="G6" s="64" t="s">
        <v>215</v>
      </c>
      <c r="H6" s="67" t="s">
        <v>202</v>
      </c>
      <c r="I6" s="67" t="s">
        <v>113</v>
      </c>
      <c r="J6" s="64"/>
      <c r="K6" s="64"/>
      <c r="L6" s="64"/>
      <c r="M6" s="72"/>
    </row>
    <row r="7" spans="1:13" ht="15" customHeight="1">
      <c r="A7" s="63"/>
      <c r="B7" s="64"/>
      <c r="C7" s="64"/>
      <c r="D7" s="64"/>
      <c r="E7" s="64"/>
      <c r="F7" s="64"/>
      <c r="G7" s="64"/>
      <c r="H7" s="64"/>
      <c r="I7" s="64"/>
      <c r="J7" s="64"/>
      <c r="K7" s="64"/>
      <c r="L7" s="64"/>
      <c r="M7" s="72"/>
    </row>
    <row r="8" spans="1:13" ht="15" customHeight="1">
      <c r="A8" s="65" t="s">
        <v>109</v>
      </c>
      <c r="B8" s="64"/>
      <c r="C8" s="67" t="s">
        <v>215</v>
      </c>
      <c r="D8" s="64"/>
      <c r="E8" s="64" t="s">
        <v>124</v>
      </c>
      <c r="F8" s="64"/>
      <c r="G8" s="64" t="s">
        <v>216</v>
      </c>
      <c r="H8" s="67" t="s">
        <v>146</v>
      </c>
      <c r="I8" s="67" t="s">
        <v>99</v>
      </c>
      <c r="J8" s="64"/>
      <c r="K8" s="64"/>
      <c r="L8" s="64"/>
      <c r="M8" s="72"/>
    </row>
    <row r="9" spans="1:13" ht="15" customHeight="1">
      <c r="A9" s="63"/>
      <c r="B9" s="64"/>
      <c r="C9" s="64"/>
      <c r="D9" s="64"/>
      <c r="E9" s="64"/>
      <c r="F9" s="64"/>
      <c r="G9" s="64"/>
      <c r="H9" s="64"/>
      <c r="I9" s="64"/>
      <c r="J9" s="64"/>
      <c r="K9" s="64"/>
      <c r="L9" s="64"/>
      <c r="M9" s="72"/>
    </row>
    <row r="10" spans="1:64" ht="15" customHeight="1">
      <c r="A10" s="33" t="s">
        <v>17</v>
      </c>
      <c r="B10" s="29" t="s">
        <v>73</v>
      </c>
      <c r="C10" s="73" t="s">
        <v>245</v>
      </c>
      <c r="D10" s="74"/>
      <c r="E10" s="29" t="s">
        <v>78</v>
      </c>
      <c r="F10" s="43" t="s">
        <v>132</v>
      </c>
      <c r="G10" s="35" t="s">
        <v>69</v>
      </c>
      <c r="H10" s="77" t="s">
        <v>141</v>
      </c>
      <c r="I10" s="78"/>
      <c r="J10" s="79"/>
      <c r="K10" s="78" t="s">
        <v>37</v>
      </c>
      <c r="L10" s="78"/>
      <c r="M10" s="37" t="s">
        <v>62</v>
      </c>
      <c r="BK10" s="41" t="s">
        <v>89</v>
      </c>
      <c r="BL10" s="49" t="s">
        <v>114</v>
      </c>
    </row>
    <row r="11" spans="1:62" ht="15" customHeight="1">
      <c r="A11" s="8" t="s">
        <v>215</v>
      </c>
      <c r="B11" s="48" t="s">
        <v>215</v>
      </c>
      <c r="C11" s="75" t="s">
        <v>231</v>
      </c>
      <c r="D11" s="76"/>
      <c r="E11" s="48" t="s">
        <v>215</v>
      </c>
      <c r="F11" s="48" t="s">
        <v>215</v>
      </c>
      <c r="G11" s="12" t="s">
        <v>220</v>
      </c>
      <c r="H11" s="20" t="s">
        <v>12</v>
      </c>
      <c r="I11" s="44" t="s">
        <v>44</v>
      </c>
      <c r="J11" s="17" t="s">
        <v>26</v>
      </c>
      <c r="K11" s="44" t="s">
        <v>75</v>
      </c>
      <c r="L11" s="12" t="s">
        <v>26</v>
      </c>
      <c r="M11" s="46" t="s">
        <v>57</v>
      </c>
      <c r="Z11" s="41" t="s">
        <v>175</v>
      </c>
      <c r="AA11" s="41" t="s">
        <v>135</v>
      </c>
      <c r="AB11" s="41" t="s">
        <v>241</v>
      </c>
      <c r="AC11" s="41" t="s">
        <v>64</v>
      </c>
      <c r="AD11" s="41" t="s">
        <v>199</v>
      </c>
      <c r="AE11" s="41" t="s">
        <v>83</v>
      </c>
      <c r="AF11" s="41" t="s">
        <v>207</v>
      </c>
      <c r="AG11" s="41" t="s">
        <v>100</v>
      </c>
      <c r="AH11" s="41" t="s">
        <v>61</v>
      </c>
      <c r="BH11" s="41" t="s">
        <v>177</v>
      </c>
      <c r="BI11" s="41" t="s">
        <v>236</v>
      </c>
      <c r="BJ11" s="41" t="s">
        <v>246</v>
      </c>
    </row>
    <row r="12" spans="1:47" ht="15" customHeight="1">
      <c r="A12" s="55" t="s">
        <v>158</v>
      </c>
      <c r="B12" s="54" t="s">
        <v>168</v>
      </c>
      <c r="C12" s="80" t="s">
        <v>164</v>
      </c>
      <c r="D12" s="80"/>
      <c r="E12" s="31" t="s">
        <v>215</v>
      </c>
      <c r="F12" s="31" t="s">
        <v>215</v>
      </c>
      <c r="G12" s="31" t="s">
        <v>215</v>
      </c>
      <c r="H12" s="59">
        <f>SUM(H13:H15)</f>
        <v>0</v>
      </c>
      <c r="I12" s="59">
        <f>SUM(I13:I15)</f>
        <v>0</v>
      </c>
      <c r="J12" s="59">
        <f>SUM(J13:J15)</f>
        <v>0</v>
      </c>
      <c r="K12" s="27" t="s">
        <v>158</v>
      </c>
      <c r="L12" s="59">
        <f>SUM(L13:L15)</f>
        <v>6.0879435</v>
      </c>
      <c r="M12" s="7" t="s">
        <v>158</v>
      </c>
      <c r="AI12" s="41" t="s">
        <v>158</v>
      </c>
      <c r="AS12" s="28">
        <f>SUM(AJ13:AJ15)</f>
        <v>0</v>
      </c>
      <c r="AT12" s="28">
        <f>SUM(AK13:AK15)</f>
        <v>0</v>
      </c>
      <c r="AU12" s="28">
        <f>SUM(AL13:AL15)</f>
        <v>0</v>
      </c>
    </row>
    <row r="13" spans="1:64" ht="15" customHeight="1">
      <c r="A13" s="21" t="s">
        <v>229</v>
      </c>
      <c r="B13" s="5" t="s">
        <v>152</v>
      </c>
      <c r="C13" s="64" t="s">
        <v>197</v>
      </c>
      <c r="D13" s="64"/>
      <c r="E13" s="5" t="s">
        <v>226</v>
      </c>
      <c r="F13" s="2">
        <v>209.175</v>
      </c>
      <c r="G13" s="2">
        <v>0</v>
      </c>
      <c r="H13" s="2">
        <f>F13*AO13</f>
        <v>0</v>
      </c>
      <c r="I13" s="2">
        <f>F13*AP13</f>
        <v>0</v>
      </c>
      <c r="J13" s="2">
        <f>F13*G13</f>
        <v>0</v>
      </c>
      <c r="K13" s="2">
        <v>4E-05</v>
      </c>
      <c r="L13" s="2">
        <f>F13*K13</f>
        <v>0.008367000000000001</v>
      </c>
      <c r="M13" s="50" t="s">
        <v>194</v>
      </c>
      <c r="Z13" s="2">
        <f>IF(AQ13="5",BJ13,0)</f>
        <v>0</v>
      </c>
      <c r="AB13" s="2">
        <f>IF(AQ13="1",BH13,0)</f>
        <v>0</v>
      </c>
      <c r="AC13" s="2">
        <f>IF(AQ13="1",BI13,0)</f>
        <v>0</v>
      </c>
      <c r="AD13" s="2">
        <f>IF(AQ13="7",BH13,0)</f>
        <v>0</v>
      </c>
      <c r="AE13" s="2">
        <f>IF(AQ13="7",BI13,0)</f>
        <v>0</v>
      </c>
      <c r="AF13" s="2">
        <f>IF(AQ13="2",BH13,0)</f>
        <v>0</v>
      </c>
      <c r="AG13" s="2">
        <f>IF(AQ13="2",BI13,0)</f>
        <v>0</v>
      </c>
      <c r="AH13" s="2">
        <f>IF(AQ13="0",BJ13,0)</f>
        <v>0</v>
      </c>
      <c r="AI13" s="41" t="s">
        <v>158</v>
      </c>
      <c r="AJ13" s="2">
        <f>IF(AN13=0,J13,0)</f>
        <v>0</v>
      </c>
      <c r="AK13" s="2">
        <f>IF(AN13=15,J13,0)</f>
        <v>0</v>
      </c>
      <c r="AL13" s="2">
        <f>IF(AN13=21,J13,0)</f>
        <v>0</v>
      </c>
      <c r="AN13" s="2">
        <v>21</v>
      </c>
      <c r="AO13" s="2">
        <f>G13*0.321455223880597</f>
        <v>0</v>
      </c>
      <c r="AP13" s="2">
        <f>G13*(1-0.321455223880597)</f>
        <v>0</v>
      </c>
      <c r="AQ13" s="34" t="s">
        <v>229</v>
      </c>
      <c r="AV13" s="2">
        <f>AW13+AX13</f>
        <v>0</v>
      </c>
      <c r="AW13" s="2">
        <f>F13*AO13</f>
        <v>0</v>
      </c>
      <c r="AX13" s="2">
        <f>F13*AP13</f>
        <v>0</v>
      </c>
      <c r="AY13" s="34" t="s">
        <v>138</v>
      </c>
      <c r="AZ13" s="34" t="s">
        <v>33</v>
      </c>
      <c r="BA13" s="41" t="s">
        <v>173</v>
      </c>
      <c r="BC13" s="2">
        <f>AW13+AX13</f>
        <v>0</v>
      </c>
      <c r="BD13" s="2">
        <f>G13/(100-BE13)*100</f>
        <v>0</v>
      </c>
      <c r="BE13" s="2">
        <v>0</v>
      </c>
      <c r="BF13" s="2">
        <f>L13</f>
        <v>0.008367000000000001</v>
      </c>
      <c r="BH13" s="2">
        <f>F13*AO13</f>
        <v>0</v>
      </c>
      <c r="BI13" s="2">
        <f>F13*AP13</f>
        <v>0</v>
      </c>
      <c r="BJ13" s="2">
        <f>F13*G13</f>
        <v>0</v>
      </c>
      <c r="BK13" s="2"/>
      <c r="BL13" s="2">
        <v>61</v>
      </c>
    </row>
    <row r="14" spans="1:13" ht="15" customHeight="1">
      <c r="A14" s="36"/>
      <c r="C14" s="22" t="s">
        <v>79</v>
      </c>
      <c r="D14" s="22" t="s">
        <v>158</v>
      </c>
      <c r="F14" s="24">
        <v>209.175</v>
      </c>
      <c r="M14" s="32"/>
    </row>
    <row r="15" spans="1:64" ht="15" customHeight="1">
      <c r="A15" s="21" t="s">
        <v>155</v>
      </c>
      <c r="B15" s="5" t="s">
        <v>34</v>
      </c>
      <c r="C15" s="64" t="s">
        <v>120</v>
      </c>
      <c r="D15" s="64"/>
      <c r="E15" s="5" t="s">
        <v>226</v>
      </c>
      <c r="F15" s="2">
        <v>174.15</v>
      </c>
      <c r="G15" s="2">
        <v>0</v>
      </c>
      <c r="H15" s="2">
        <f>F15*AO15</f>
        <v>0</v>
      </c>
      <c r="I15" s="2">
        <f>F15*AP15</f>
        <v>0</v>
      </c>
      <c r="J15" s="2">
        <f>F15*G15</f>
        <v>0</v>
      </c>
      <c r="K15" s="2">
        <v>0.03491</v>
      </c>
      <c r="L15" s="2">
        <f>F15*K15</f>
        <v>6.0795765</v>
      </c>
      <c r="M15" s="50" t="s">
        <v>194</v>
      </c>
      <c r="Z15" s="2">
        <f>IF(AQ15="5",BJ15,0)</f>
        <v>0</v>
      </c>
      <c r="AB15" s="2">
        <f>IF(AQ15="1",BH15,0)</f>
        <v>0</v>
      </c>
      <c r="AC15" s="2">
        <f>IF(AQ15="1",BI15,0)</f>
        <v>0</v>
      </c>
      <c r="AD15" s="2">
        <f>IF(AQ15="7",BH15,0)</f>
        <v>0</v>
      </c>
      <c r="AE15" s="2">
        <f>IF(AQ15="7",BI15,0)</f>
        <v>0</v>
      </c>
      <c r="AF15" s="2">
        <f>IF(AQ15="2",BH15,0)</f>
        <v>0</v>
      </c>
      <c r="AG15" s="2">
        <f>IF(AQ15="2",BI15,0)</f>
        <v>0</v>
      </c>
      <c r="AH15" s="2">
        <f>IF(AQ15="0",BJ15,0)</f>
        <v>0</v>
      </c>
      <c r="AI15" s="41" t="s">
        <v>158</v>
      </c>
      <c r="AJ15" s="2">
        <f>IF(AN15=0,J15,0)</f>
        <v>0</v>
      </c>
      <c r="AK15" s="2">
        <f>IF(AN15=15,J15,0)</f>
        <v>0</v>
      </c>
      <c r="AL15" s="2">
        <f>IF(AN15=21,J15,0)</f>
        <v>0</v>
      </c>
      <c r="AN15" s="2">
        <v>21</v>
      </c>
      <c r="AO15" s="2">
        <f>G15*0.311128905421232</f>
        <v>0</v>
      </c>
      <c r="AP15" s="2">
        <f>G15*(1-0.311128905421232)</f>
        <v>0</v>
      </c>
      <c r="AQ15" s="34" t="s">
        <v>229</v>
      </c>
      <c r="AV15" s="2">
        <f>AW15+AX15</f>
        <v>0</v>
      </c>
      <c r="AW15" s="2">
        <f>F15*AO15</f>
        <v>0</v>
      </c>
      <c r="AX15" s="2">
        <f>F15*AP15</f>
        <v>0</v>
      </c>
      <c r="AY15" s="34" t="s">
        <v>138</v>
      </c>
      <c r="AZ15" s="34" t="s">
        <v>33</v>
      </c>
      <c r="BA15" s="41" t="s">
        <v>173</v>
      </c>
      <c r="BC15" s="2">
        <f>AW15+AX15</f>
        <v>0</v>
      </c>
      <c r="BD15" s="2">
        <f>G15/(100-BE15)*100</f>
        <v>0</v>
      </c>
      <c r="BE15" s="2">
        <v>0</v>
      </c>
      <c r="BF15" s="2">
        <f>L15</f>
        <v>6.0795765</v>
      </c>
      <c r="BH15" s="2">
        <f>F15*AO15</f>
        <v>0</v>
      </c>
      <c r="BI15" s="2">
        <f>F15*AP15</f>
        <v>0</v>
      </c>
      <c r="BJ15" s="2">
        <f>F15*G15</f>
        <v>0</v>
      </c>
      <c r="BK15" s="2"/>
      <c r="BL15" s="2">
        <v>61</v>
      </c>
    </row>
    <row r="16" spans="1:13" ht="15" customHeight="1">
      <c r="A16" s="36"/>
      <c r="C16" s="22" t="s">
        <v>222</v>
      </c>
      <c r="D16" s="22" t="s">
        <v>163</v>
      </c>
      <c r="F16" s="24">
        <v>77.4</v>
      </c>
      <c r="M16" s="32"/>
    </row>
    <row r="17" spans="1:13" ht="15" customHeight="1">
      <c r="A17" s="36"/>
      <c r="C17" s="22" t="s">
        <v>54</v>
      </c>
      <c r="D17" s="22" t="s">
        <v>43</v>
      </c>
      <c r="F17" s="24">
        <v>96.75000000000001</v>
      </c>
      <c r="M17" s="32"/>
    </row>
    <row r="18" spans="1:13" ht="13.5" customHeight="1">
      <c r="A18" s="36"/>
      <c r="B18" s="56" t="s">
        <v>82</v>
      </c>
      <c r="C18" s="81" t="s">
        <v>59</v>
      </c>
      <c r="D18" s="82"/>
      <c r="E18" s="82"/>
      <c r="F18" s="82"/>
      <c r="G18" s="82"/>
      <c r="H18" s="82"/>
      <c r="I18" s="82"/>
      <c r="J18" s="82"/>
      <c r="K18" s="82"/>
      <c r="L18" s="82"/>
      <c r="M18" s="83"/>
    </row>
    <row r="19" spans="1:47" ht="15" customHeight="1">
      <c r="A19" s="42" t="s">
        <v>158</v>
      </c>
      <c r="B19" s="13" t="s">
        <v>247</v>
      </c>
      <c r="C19" s="80" t="s">
        <v>214</v>
      </c>
      <c r="D19" s="80"/>
      <c r="E19" s="1" t="s">
        <v>215</v>
      </c>
      <c r="F19" s="1" t="s">
        <v>215</v>
      </c>
      <c r="G19" s="1" t="s">
        <v>215</v>
      </c>
      <c r="H19" s="28">
        <f>SUM(H20:H22)</f>
        <v>0</v>
      </c>
      <c r="I19" s="28">
        <f>SUM(I20:I22)</f>
        <v>0</v>
      </c>
      <c r="J19" s="28">
        <f>SUM(J20:J22)</f>
        <v>0</v>
      </c>
      <c r="K19" s="41" t="s">
        <v>158</v>
      </c>
      <c r="L19" s="28">
        <f>SUM(L20:L22)</f>
        <v>0.11699999999999999</v>
      </c>
      <c r="M19" s="6" t="s">
        <v>158</v>
      </c>
      <c r="AI19" s="41" t="s">
        <v>158</v>
      </c>
      <c r="AS19" s="28">
        <f>SUM(AJ20:AJ22)</f>
        <v>0</v>
      </c>
      <c r="AT19" s="28">
        <f>SUM(AK20:AK22)</f>
        <v>0</v>
      </c>
      <c r="AU19" s="28">
        <f>SUM(AL20:AL22)</f>
        <v>0</v>
      </c>
    </row>
    <row r="20" spans="1:64" ht="15" customHeight="1">
      <c r="A20" s="21" t="s">
        <v>201</v>
      </c>
      <c r="B20" s="5" t="s">
        <v>242</v>
      </c>
      <c r="C20" s="64" t="s">
        <v>153</v>
      </c>
      <c r="D20" s="64"/>
      <c r="E20" s="5" t="s">
        <v>189</v>
      </c>
      <c r="F20" s="2">
        <v>390</v>
      </c>
      <c r="G20" s="2">
        <v>0</v>
      </c>
      <c r="H20" s="2">
        <f>F20*AO20</f>
        <v>0</v>
      </c>
      <c r="I20" s="2">
        <f>F20*AP20</f>
        <v>0</v>
      </c>
      <c r="J20" s="2">
        <f>F20*G20</f>
        <v>0</v>
      </c>
      <c r="K20" s="2">
        <v>0.00015</v>
      </c>
      <c r="L20" s="2">
        <f>F20*K20</f>
        <v>0.058499999999999996</v>
      </c>
      <c r="M20" s="50" t="s">
        <v>194</v>
      </c>
      <c r="Z20" s="2">
        <f>IF(AQ20="5",BJ20,0)</f>
        <v>0</v>
      </c>
      <c r="AB20" s="2">
        <f>IF(AQ20="1",BH20,0)</f>
        <v>0</v>
      </c>
      <c r="AC20" s="2">
        <f>IF(AQ20="1",BI20,0)</f>
        <v>0</v>
      </c>
      <c r="AD20" s="2">
        <f>IF(AQ20="7",BH20,0)</f>
        <v>0</v>
      </c>
      <c r="AE20" s="2">
        <f>IF(AQ20="7",BI20,0)</f>
        <v>0</v>
      </c>
      <c r="AF20" s="2">
        <f>IF(AQ20="2",BH20,0)</f>
        <v>0</v>
      </c>
      <c r="AG20" s="2">
        <f>IF(AQ20="2",BI20,0)</f>
        <v>0</v>
      </c>
      <c r="AH20" s="2">
        <f>IF(AQ20="0",BJ20,0)</f>
        <v>0</v>
      </c>
      <c r="AI20" s="41" t="s">
        <v>158</v>
      </c>
      <c r="AJ20" s="2">
        <f>IF(AN20=0,J20,0)</f>
        <v>0</v>
      </c>
      <c r="AK20" s="2">
        <f>IF(AN20=15,J20,0)</f>
        <v>0</v>
      </c>
      <c r="AL20" s="2">
        <f>IF(AN20=21,J20,0)</f>
        <v>0</v>
      </c>
      <c r="AN20" s="2">
        <v>21</v>
      </c>
      <c r="AO20" s="2">
        <f>G20*0.505287444722169</f>
        <v>0</v>
      </c>
      <c r="AP20" s="2">
        <f>G20*(1-0.505287444722169)</f>
        <v>0</v>
      </c>
      <c r="AQ20" s="34" t="s">
        <v>229</v>
      </c>
      <c r="AV20" s="2">
        <f>AW20+AX20</f>
        <v>0</v>
      </c>
      <c r="AW20" s="2">
        <f>F20*AO20</f>
        <v>0</v>
      </c>
      <c r="AX20" s="2">
        <f>F20*AP20</f>
        <v>0</v>
      </c>
      <c r="AY20" s="34" t="s">
        <v>102</v>
      </c>
      <c r="AZ20" s="34" t="s">
        <v>33</v>
      </c>
      <c r="BA20" s="41" t="s">
        <v>173</v>
      </c>
      <c r="BC20" s="2">
        <f>AW20+AX20</f>
        <v>0</v>
      </c>
      <c r="BD20" s="2">
        <f>G20/(100-BE20)*100</f>
        <v>0</v>
      </c>
      <c r="BE20" s="2">
        <v>0</v>
      </c>
      <c r="BF20" s="2">
        <f>L20</f>
        <v>0.058499999999999996</v>
      </c>
      <c r="BH20" s="2">
        <f>F20*AO20</f>
        <v>0</v>
      </c>
      <c r="BI20" s="2">
        <f>F20*AP20</f>
        <v>0</v>
      </c>
      <c r="BJ20" s="2">
        <f>F20*G20</f>
        <v>0</v>
      </c>
      <c r="BK20" s="2"/>
      <c r="BL20" s="2">
        <v>62</v>
      </c>
    </row>
    <row r="21" spans="1:13" ht="15" customHeight="1">
      <c r="A21" s="36"/>
      <c r="C21" s="22" t="s">
        <v>196</v>
      </c>
      <c r="D21" s="22" t="s">
        <v>158</v>
      </c>
      <c r="F21" s="24">
        <v>390.00000000000006</v>
      </c>
      <c r="M21" s="32"/>
    </row>
    <row r="22" spans="1:64" ht="15" customHeight="1">
      <c r="A22" s="21" t="s">
        <v>30</v>
      </c>
      <c r="B22" s="5" t="s">
        <v>242</v>
      </c>
      <c r="C22" s="64" t="s">
        <v>107</v>
      </c>
      <c r="D22" s="64"/>
      <c r="E22" s="5" t="s">
        <v>189</v>
      </c>
      <c r="F22" s="2">
        <v>390</v>
      </c>
      <c r="G22" s="2">
        <v>0</v>
      </c>
      <c r="H22" s="2">
        <f>F22*AO22</f>
        <v>0</v>
      </c>
      <c r="I22" s="2">
        <f>F22*AP22</f>
        <v>0</v>
      </c>
      <c r="J22" s="2">
        <f>F22*G22</f>
        <v>0</v>
      </c>
      <c r="K22" s="2">
        <v>0.00015</v>
      </c>
      <c r="L22" s="2">
        <f>F22*K22</f>
        <v>0.058499999999999996</v>
      </c>
      <c r="M22" s="50" t="s">
        <v>194</v>
      </c>
      <c r="Z22" s="2">
        <f>IF(AQ22="5",BJ22,0)</f>
        <v>0</v>
      </c>
      <c r="AB22" s="2">
        <f>IF(AQ22="1",BH22,0)</f>
        <v>0</v>
      </c>
      <c r="AC22" s="2">
        <f>IF(AQ22="1",BI22,0)</f>
        <v>0</v>
      </c>
      <c r="AD22" s="2">
        <f>IF(AQ22="7",BH22,0)</f>
        <v>0</v>
      </c>
      <c r="AE22" s="2">
        <f>IF(AQ22="7",BI22,0)</f>
        <v>0</v>
      </c>
      <c r="AF22" s="2">
        <f>IF(AQ22="2",BH22,0)</f>
        <v>0</v>
      </c>
      <c r="AG22" s="2">
        <f>IF(AQ22="2",BI22,0)</f>
        <v>0</v>
      </c>
      <c r="AH22" s="2">
        <f>IF(AQ22="0",BJ22,0)</f>
        <v>0</v>
      </c>
      <c r="AI22" s="41" t="s">
        <v>158</v>
      </c>
      <c r="AJ22" s="2">
        <f>IF(AN22=0,J22,0)</f>
        <v>0</v>
      </c>
      <c r="AK22" s="2">
        <f>IF(AN22=15,J22,0)</f>
        <v>0</v>
      </c>
      <c r="AL22" s="2">
        <f>IF(AN22=21,J22,0)</f>
        <v>0</v>
      </c>
      <c r="AN22" s="2">
        <v>21</v>
      </c>
      <c r="AO22" s="2">
        <f>G22*0.505287444722169</f>
        <v>0</v>
      </c>
      <c r="AP22" s="2">
        <f>G22*(1-0.505287444722169)</f>
        <v>0</v>
      </c>
      <c r="AQ22" s="34" t="s">
        <v>229</v>
      </c>
      <c r="AV22" s="2">
        <f>AW22+AX22</f>
        <v>0</v>
      </c>
      <c r="AW22" s="2">
        <f>F22*AO22</f>
        <v>0</v>
      </c>
      <c r="AX22" s="2">
        <f>F22*AP22</f>
        <v>0</v>
      </c>
      <c r="AY22" s="34" t="s">
        <v>102</v>
      </c>
      <c r="AZ22" s="34" t="s">
        <v>33</v>
      </c>
      <c r="BA22" s="41" t="s">
        <v>173</v>
      </c>
      <c r="BC22" s="2">
        <f>AW22+AX22</f>
        <v>0</v>
      </c>
      <c r="BD22" s="2">
        <f>G22/(100-BE22)*100</f>
        <v>0</v>
      </c>
      <c r="BE22" s="2">
        <v>0</v>
      </c>
      <c r="BF22" s="2">
        <f>L22</f>
        <v>0.058499999999999996</v>
      </c>
      <c r="BH22" s="2">
        <f>F22*AO22</f>
        <v>0</v>
      </c>
      <c r="BI22" s="2">
        <f>F22*AP22</f>
        <v>0</v>
      </c>
      <c r="BJ22" s="2">
        <f>F22*G22</f>
        <v>0</v>
      </c>
      <c r="BK22" s="2"/>
      <c r="BL22" s="2">
        <v>62</v>
      </c>
    </row>
    <row r="23" spans="1:13" ht="15" customHeight="1">
      <c r="A23" s="36"/>
      <c r="C23" s="22" t="s">
        <v>196</v>
      </c>
      <c r="D23" s="22" t="s">
        <v>158</v>
      </c>
      <c r="F23" s="24">
        <v>390.00000000000006</v>
      </c>
      <c r="M23" s="32"/>
    </row>
    <row r="24" spans="1:47" ht="15" customHeight="1">
      <c r="A24" s="42" t="s">
        <v>158</v>
      </c>
      <c r="B24" s="13" t="s">
        <v>52</v>
      </c>
      <c r="C24" s="80" t="s">
        <v>235</v>
      </c>
      <c r="D24" s="80"/>
      <c r="E24" s="1" t="s">
        <v>215</v>
      </c>
      <c r="F24" s="1" t="s">
        <v>215</v>
      </c>
      <c r="G24" s="1" t="s">
        <v>215</v>
      </c>
      <c r="H24" s="28">
        <f>SUM(H25:H25)</f>
        <v>0</v>
      </c>
      <c r="I24" s="28">
        <f>SUM(I25:I25)</f>
        <v>0</v>
      </c>
      <c r="J24" s="28">
        <f>SUM(J25:J25)</f>
        <v>0</v>
      </c>
      <c r="K24" s="41" t="s">
        <v>158</v>
      </c>
      <c r="L24" s="28">
        <f>SUM(L25:L25)</f>
        <v>2.8313</v>
      </c>
      <c r="M24" s="6" t="s">
        <v>158</v>
      </c>
      <c r="AI24" s="41" t="s">
        <v>158</v>
      </c>
      <c r="AS24" s="28">
        <f>SUM(AJ25:AJ25)</f>
        <v>0</v>
      </c>
      <c r="AT24" s="28">
        <f>SUM(AK25:AK25)</f>
        <v>0</v>
      </c>
      <c r="AU24" s="28">
        <f>SUM(AL25:AL25)</f>
        <v>0</v>
      </c>
    </row>
    <row r="25" spans="1:64" ht="15" customHeight="1">
      <c r="A25" s="21" t="s">
        <v>117</v>
      </c>
      <c r="B25" s="5" t="s">
        <v>240</v>
      </c>
      <c r="C25" s="64" t="s">
        <v>125</v>
      </c>
      <c r="D25" s="64"/>
      <c r="E25" s="5" t="s">
        <v>226</v>
      </c>
      <c r="F25" s="2">
        <v>23</v>
      </c>
      <c r="G25" s="2">
        <v>0</v>
      </c>
      <c r="H25" s="2">
        <f>F25*AO25</f>
        <v>0</v>
      </c>
      <c r="I25" s="2">
        <f>F25*AP25</f>
        <v>0</v>
      </c>
      <c r="J25" s="2">
        <f>F25*G25</f>
        <v>0</v>
      </c>
      <c r="K25" s="2">
        <v>0.1231</v>
      </c>
      <c r="L25" s="2">
        <f>F25*K25</f>
        <v>2.8313</v>
      </c>
      <c r="M25" s="50" t="s">
        <v>194</v>
      </c>
      <c r="Z25" s="2">
        <f>IF(AQ25="5",BJ25,0)</f>
        <v>0</v>
      </c>
      <c r="AB25" s="2">
        <f>IF(AQ25="1",BH25,0)</f>
        <v>0</v>
      </c>
      <c r="AC25" s="2">
        <f>IF(AQ25="1",BI25,0)</f>
        <v>0</v>
      </c>
      <c r="AD25" s="2">
        <f>IF(AQ25="7",BH25,0)</f>
        <v>0</v>
      </c>
      <c r="AE25" s="2">
        <f>IF(AQ25="7",BI25,0)</f>
        <v>0</v>
      </c>
      <c r="AF25" s="2">
        <f>IF(AQ25="2",BH25,0)</f>
        <v>0</v>
      </c>
      <c r="AG25" s="2">
        <f>IF(AQ25="2",BI25,0)</f>
        <v>0</v>
      </c>
      <c r="AH25" s="2">
        <f>IF(AQ25="0",BJ25,0)</f>
        <v>0</v>
      </c>
      <c r="AI25" s="41" t="s">
        <v>158</v>
      </c>
      <c r="AJ25" s="2">
        <f>IF(AN25=0,J25,0)</f>
        <v>0</v>
      </c>
      <c r="AK25" s="2">
        <f>IF(AN25=15,J25,0)</f>
        <v>0</v>
      </c>
      <c r="AL25" s="2">
        <f>IF(AN25=21,J25,0)</f>
        <v>0</v>
      </c>
      <c r="AN25" s="2">
        <v>21</v>
      </c>
      <c r="AO25" s="2">
        <f>G25*0.419545454545454</f>
        <v>0</v>
      </c>
      <c r="AP25" s="2">
        <f>G25*(1-0.419545454545454)</f>
        <v>0</v>
      </c>
      <c r="AQ25" s="34" t="s">
        <v>229</v>
      </c>
      <c r="AV25" s="2">
        <f>AW25+AX25</f>
        <v>0</v>
      </c>
      <c r="AW25" s="2">
        <f>F25*AO25</f>
        <v>0</v>
      </c>
      <c r="AX25" s="2">
        <f>F25*AP25</f>
        <v>0</v>
      </c>
      <c r="AY25" s="34" t="s">
        <v>212</v>
      </c>
      <c r="AZ25" s="34" t="s">
        <v>33</v>
      </c>
      <c r="BA25" s="41" t="s">
        <v>173</v>
      </c>
      <c r="BC25" s="2">
        <f>AW25+AX25</f>
        <v>0</v>
      </c>
      <c r="BD25" s="2">
        <f>G25/(100-BE25)*100</f>
        <v>0</v>
      </c>
      <c r="BE25" s="2">
        <v>0</v>
      </c>
      <c r="BF25" s="2">
        <f>L25</f>
        <v>2.8313</v>
      </c>
      <c r="BH25" s="2">
        <f>F25*AO25</f>
        <v>0</v>
      </c>
      <c r="BI25" s="2">
        <f>F25*AP25</f>
        <v>0</v>
      </c>
      <c r="BJ25" s="2">
        <f>F25*G25</f>
        <v>0</v>
      </c>
      <c r="BK25" s="2"/>
      <c r="BL25" s="2">
        <v>63</v>
      </c>
    </row>
    <row r="26" spans="1:13" ht="15" customHeight="1">
      <c r="A26" s="36"/>
      <c r="C26" s="22" t="s">
        <v>103</v>
      </c>
      <c r="D26" s="22" t="s">
        <v>209</v>
      </c>
      <c r="F26" s="24">
        <v>23.000000000000004</v>
      </c>
      <c r="M26" s="32"/>
    </row>
    <row r="27" spans="1:47" ht="15" customHeight="1">
      <c r="A27" s="42" t="s">
        <v>158</v>
      </c>
      <c r="B27" s="13" t="s">
        <v>111</v>
      </c>
      <c r="C27" s="80" t="s">
        <v>239</v>
      </c>
      <c r="D27" s="80"/>
      <c r="E27" s="1" t="s">
        <v>215</v>
      </c>
      <c r="F27" s="1" t="s">
        <v>215</v>
      </c>
      <c r="G27" s="1" t="s">
        <v>215</v>
      </c>
      <c r="H27" s="28">
        <f>SUM(H28:H28)</f>
        <v>0</v>
      </c>
      <c r="I27" s="28">
        <f>SUM(I28:I28)</f>
        <v>0</v>
      </c>
      <c r="J27" s="28">
        <f>SUM(J28:J28)</f>
        <v>0</v>
      </c>
      <c r="K27" s="41" t="s">
        <v>158</v>
      </c>
      <c r="L27" s="28">
        <f>SUM(L28:L28)</f>
        <v>2.34784</v>
      </c>
      <c r="M27" s="6" t="s">
        <v>158</v>
      </c>
      <c r="AI27" s="41" t="s">
        <v>158</v>
      </c>
      <c r="AS27" s="28">
        <f>SUM(AJ28:AJ28)</f>
        <v>0</v>
      </c>
      <c r="AT27" s="28">
        <f>SUM(AK28:AK28)</f>
        <v>0</v>
      </c>
      <c r="AU27" s="28">
        <f>SUM(AL28:AL28)</f>
        <v>0</v>
      </c>
    </row>
    <row r="28" spans="1:64" ht="15" customHeight="1">
      <c r="A28" s="21" t="s">
        <v>38</v>
      </c>
      <c r="B28" s="5" t="s">
        <v>119</v>
      </c>
      <c r="C28" s="64" t="s">
        <v>77</v>
      </c>
      <c r="D28" s="64"/>
      <c r="E28" s="5" t="s">
        <v>55</v>
      </c>
      <c r="F28" s="2">
        <v>58</v>
      </c>
      <c r="G28" s="2">
        <v>0</v>
      </c>
      <c r="H28" s="2">
        <f>F28*AO28</f>
        <v>0</v>
      </c>
      <c r="I28" s="2">
        <f>F28*AP28</f>
        <v>0</v>
      </c>
      <c r="J28" s="2">
        <f>F28*G28</f>
        <v>0</v>
      </c>
      <c r="K28" s="2">
        <v>0.04048</v>
      </c>
      <c r="L28" s="2">
        <f>F28*K28</f>
        <v>2.34784</v>
      </c>
      <c r="M28" s="50" t="s">
        <v>194</v>
      </c>
      <c r="Z28" s="2">
        <f>IF(AQ28="5",BJ28,0)</f>
        <v>0</v>
      </c>
      <c r="AB28" s="2">
        <f>IF(AQ28="1",BH28,0)</f>
        <v>0</v>
      </c>
      <c r="AC28" s="2">
        <f>IF(AQ28="1",BI28,0)</f>
        <v>0</v>
      </c>
      <c r="AD28" s="2">
        <f>IF(AQ28="7",BH28,0)</f>
        <v>0</v>
      </c>
      <c r="AE28" s="2">
        <f>IF(AQ28="7",BI28,0)</f>
        <v>0</v>
      </c>
      <c r="AF28" s="2">
        <f>IF(AQ28="2",BH28,0)</f>
        <v>0</v>
      </c>
      <c r="AG28" s="2">
        <f>IF(AQ28="2",BI28,0)</f>
        <v>0</v>
      </c>
      <c r="AH28" s="2">
        <f>IF(AQ28="0",BJ28,0)</f>
        <v>0</v>
      </c>
      <c r="AI28" s="41" t="s">
        <v>158</v>
      </c>
      <c r="AJ28" s="2">
        <f>IF(AN28=0,J28,0)</f>
        <v>0</v>
      </c>
      <c r="AK28" s="2">
        <f>IF(AN28=15,J28,0)</f>
        <v>0</v>
      </c>
      <c r="AL28" s="2">
        <f>IF(AN28=21,J28,0)</f>
        <v>0</v>
      </c>
      <c r="AN28" s="2">
        <v>21</v>
      </c>
      <c r="AO28" s="2">
        <f>G28*0.244709677419355</f>
        <v>0</v>
      </c>
      <c r="AP28" s="2">
        <f>G28*(1-0.244709677419355)</f>
        <v>0</v>
      </c>
      <c r="AQ28" s="34" t="s">
        <v>229</v>
      </c>
      <c r="AV28" s="2">
        <f>AW28+AX28</f>
        <v>0</v>
      </c>
      <c r="AW28" s="2">
        <f>F28*AO28</f>
        <v>0</v>
      </c>
      <c r="AX28" s="2">
        <f>F28*AP28</f>
        <v>0</v>
      </c>
      <c r="AY28" s="34" t="s">
        <v>150</v>
      </c>
      <c r="AZ28" s="34" t="s">
        <v>33</v>
      </c>
      <c r="BA28" s="41" t="s">
        <v>173</v>
      </c>
      <c r="BC28" s="2">
        <f>AW28+AX28</f>
        <v>0</v>
      </c>
      <c r="BD28" s="2">
        <f>G28/(100-BE28)*100</f>
        <v>0</v>
      </c>
      <c r="BE28" s="2">
        <v>0</v>
      </c>
      <c r="BF28" s="2">
        <f>L28</f>
        <v>2.34784</v>
      </c>
      <c r="BH28" s="2">
        <f>F28*AO28</f>
        <v>0</v>
      </c>
      <c r="BI28" s="2">
        <f>F28*AP28</f>
        <v>0</v>
      </c>
      <c r="BJ28" s="2">
        <f>F28*G28</f>
        <v>0</v>
      </c>
      <c r="BK28" s="2"/>
      <c r="BL28" s="2">
        <v>64</v>
      </c>
    </row>
    <row r="29" spans="1:13" ht="15" customHeight="1">
      <c r="A29" s="36"/>
      <c r="C29" s="22" t="s">
        <v>127</v>
      </c>
      <c r="D29" s="22" t="s">
        <v>166</v>
      </c>
      <c r="F29" s="24">
        <v>58.00000000000001</v>
      </c>
      <c r="M29" s="32"/>
    </row>
    <row r="30" spans="1:13" ht="40.5" customHeight="1">
      <c r="A30" s="36"/>
      <c r="B30" s="56" t="s">
        <v>82</v>
      </c>
      <c r="C30" s="81" t="s">
        <v>110</v>
      </c>
      <c r="D30" s="82"/>
      <c r="E30" s="82"/>
      <c r="F30" s="82"/>
      <c r="G30" s="82"/>
      <c r="H30" s="82"/>
      <c r="I30" s="82"/>
      <c r="J30" s="82"/>
      <c r="K30" s="82"/>
      <c r="L30" s="82"/>
      <c r="M30" s="83"/>
    </row>
    <row r="31" spans="1:47" ht="15" customHeight="1">
      <c r="A31" s="42" t="s">
        <v>158</v>
      </c>
      <c r="B31" s="13" t="s">
        <v>19</v>
      </c>
      <c r="C31" s="80" t="s">
        <v>35</v>
      </c>
      <c r="D31" s="80"/>
      <c r="E31" s="1" t="s">
        <v>215</v>
      </c>
      <c r="F31" s="1" t="s">
        <v>215</v>
      </c>
      <c r="G31" s="1" t="s">
        <v>215</v>
      </c>
      <c r="H31" s="28">
        <f>SUM(H32:H32)</f>
        <v>0</v>
      </c>
      <c r="I31" s="28">
        <f>SUM(I32:I32)</f>
        <v>0</v>
      </c>
      <c r="J31" s="28">
        <f>SUM(J32:J32)</f>
        <v>0</v>
      </c>
      <c r="K31" s="41" t="s">
        <v>158</v>
      </c>
      <c r="L31" s="28">
        <f>SUM(L32:L32)</f>
        <v>0.063414</v>
      </c>
      <c r="M31" s="6" t="s">
        <v>158</v>
      </c>
      <c r="AI31" s="41" t="s">
        <v>158</v>
      </c>
      <c r="AS31" s="28">
        <f>SUM(AJ32:AJ32)</f>
        <v>0</v>
      </c>
      <c r="AT31" s="28">
        <f>SUM(AK32:AK32)</f>
        <v>0</v>
      </c>
      <c r="AU31" s="28">
        <f>SUM(AL32:AL32)</f>
        <v>0</v>
      </c>
    </row>
    <row r="32" spans="1:64" ht="15" customHeight="1">
      <c r="A32" s="21" t="s">
        <v>230</v>
      </c>
      <c r="B32" s="5" t="s">
        <v>198</v>
      </c>
      <c r="C32" s="64" t="s">
        <v>192</v>
      </c>
      <c r="D32" s="64"/>
      <c r="E32" s="5" t="s">
        <v>189</v>
      </c>
      <c r="F32" s="2">
        <v>81.3</v>
      </c>
      <c r="G32" s="2">
        <v>0</v>
      </c>
      <c r="H32" s="2">
        <f>F32*AO32</f>
        <v>0</v>
      </c>
      <c r="I32" s="2">
        <f>F32*AP32</f>
        <v>0</v>
      </c>
      <c r="J32" s="2">
        <f>F32*G32</f>
        <v>0</v>
      </c>
      <c r="K32" s="2">
        <v>0.00078</v>
      </c>
      <c r="L32" s="2">
        <f>F32*K32</f>
        <v>0.063414</v>
      </c>
      <c r="M32" s="50" t="s">
        <v>194</v>
      </c>
      <c r="Z32" s="2">
        <f>IF(AQ32="5",BJ32,0)</f>
        <v>0</v>
      </c>
      <c r="AB32" s="2">
        <f>IF(AQ32="1",BH32,0)</f>
        <v>0</v>
      </c>
      <c r="AC32" s="2">
        <f>IF(AQ32="1",BI32,0)</f>
        <v>0</v>
      </c>
      <c r="AD32" s="2">
        <f>IF(AQ32="7",BH32,0)</f>
        <v>0</v>
      </c>
      <c r="AE32" s="2">
        <f>IF(AQ32="7",BI32,0)</f>
        <v>0</v>
      </c>
      <c r="AF32" s="2">
        <f>IF(AQ32="2",BH32,0)</f>
        <v>0</v>
      </c>
      <c r="AG32" s="2">
        <f>IF(AQ32="2",BI32,0)</f>
        <v>0</v>
      </c>
      <c r="AH32" s="2">
        <f>IF(AQ32="0",BJ32,0)</f>
        <v>0</v>
      </c>
      <c r="AI32" s="41" t="s">
        <v>158</v>
      </c>
      <c r="AJ32" s="2">
        <f>IF(AN32=0,J32,0)</f>
        <v>0</v>
      </c>
      <c r="AK32" s="2">
        <f>IF(AN32=15,J32,0)</f>
        <v>0</v>
      </c>
      <c r="AL32" s="2">
        <f>IF(AN32=21,J32,0)</f>
        <v>0</v>
      </c>
      <c r="AN32" s="2">
        <v>21</v>
      </c>
      <c r="AO32" s="2">
        <f>G32*0.27193661971831</f>
        <v>0</v>
      </c>
      <c r="AP32" s="2">
        <f>G32*(1-0.27193661971831)</f>
        <v>0</v>
      </c>
      <c r="AQ32" s="34" t="s">
        <v>230</v>
      </c>
      <c r="AV32" s="2">
        <f>AW32+AX32</f>
        <v>0</v>
      </c>
      <c r="AW32" s="2">
        <f>F32*AO32</f>
        <v>0</v>
      </c>
      <c r="AX32" s="2">
        <f>F32*AP32</f>
        <v>0</v>
      </c>
      <c r="AY32" s="34" t="s">
        <v>184</v>
      </c>
      <c r="AZ32" s="34" t="s">
        <v>118</v>
      </c>
      <c r="BA32" s="41" t="s">
        <v>173</v>
      </c>
      <c r="BC32" s="2">
        <f>AW32+AX32</f>
        <v>0</v>
      </c>
      <c r="BD32" s="2">
        <f>G32/(100-BE32)*100</f>
        <v>0</v>
      </c>
      <c r="BE32" s="2">
        <v>0</v>
      </c>
      <c r="BF32" s="2">
        <f>L32</f>
        <v>0.063414</v>
      </c>
      <c r="BH32" s="2">
        <f>F32*AO32</f>
        <v>0</v>
      </c>
      <c r="BI32" s="2">
        <f>F32*AP32</f>
        <v>0</v>
      </c>
      <c r="BJ32" s="2">
        <f>F32*G32</f>
        <v>0</v>
      </c>
      <c r="BK32" s="2"/>
      <c r="BL32" s="2">
        <v>764</v>
      </c>
    </row>
    <row r="33" spans="1:13" ht="15" customHeight="1">
      <c r="A33" s="36"/>
      <c r="C33" s="22" t="s">
        <v>244</v>
      </c>
      <c r="D33" s="22" t="s">
        <v>158</v>
      </c>
      <c r="F33" s="24">
        <v>81.30000000000001</v>
      </c>
      <c r="M33" s="32"/>
    </row>
    <row r="34" spans="1:47" ht="15" customHeight="1">
      <c r="A34" s="42" t="s">
        <v>158</v>
      </c>
      <c r="B34" s="13" t="s">
        <v>96</v>
      </c>
      <c r="C34" s="80" t="s">
        <v>106</v>
      </c>
      <c r="D34" s="80"/>
      <c r="E34" s="1" t="s">
        <v>215</v>
      </c>
      <c r="F34" s="1" t="s">
        <v>215</v>
      </c>
      <c r="G34" s="1" t="s">
        <v>215</v>
      </c>
      <c r="H34" s="28">
        <f>SUM(H35:H35)</f>
        <v>0</v>
      </c>
      <c r="I34" s="28">
        <f>SUM(I35:I35)</f>
        <v>0</v>
      </c>
      <c r="J34" s="28">
        <f>SUM(J35:J35)</f>
        <v>0</v>
      </c>
      <c r="K34" s="41" t="s">
        <v>158</v>
      </c>
      <c r="L34" s="28">
        <f>SUM(L35:L35)</f>
        <v>0.287928</v>
      </c>
      <c r="M34" s="6" t="s">
        <v>158</v>
      </c>
      <c r="AI34" s="41" t="s">
        <v>158</v>
      </c>
      <c r="AS34" s="28">
        <f>SUM(AJ35:AJ35)</f>
        <v>0</v>
      </c>
      <c r="AT34" s="28">
        <f>SUM(AK35:AK35)</f>
        <v>0</v>
      </c>
      <c r="AU34" s="28">
        <f>SUM(AL35:AL35)</f>
        <v>0</v>
      </c>
    </row>
    <row r="35" spans="1:64" ht="15" customHeight="1">
      <c r="A35" s="21" t="s">
        <v>179</v>
      </c>
      <c r="B35" s="5" t="s">
        <v>185</v>
      </c>
      <c r="C35" s="64" t="s">
        <v>232</v>
      </c>
      <c r="D35" s="64"/>
      <c r="E35" s="5" t="s">
        <v>189</v>
      </c>
      <c r="F35" s="2">
        <v>77.4</v>
      </c>
      <c r="G35" s="2">
        <v>0</v>
      </c>
      <c r="H35" s="2">
        <f>F35*AO35</f>
        <v>0</v>
      </c>
      <c r="I35" s="2">
        <f>F35*AP35</f>
        <v>0</v>
      </c>
      <c r="J35" s="2">
        <f>F35*G35</f>
        <v>0</v>
      </c>
      <c r="K35" s="2">
        <v>0.00372</v>
      </c>
      <c r="L35" s="2">
        <f>F35*K35</f>
        <v>0.287928</v>
      </c>
      <c r="M35" s="50" t="s">
        <v>194</v>
      </c>
      <c r="Z35" s="2">
        <f>IF(AQ35="5",BJ35,0)</f>
        <v>0</v>
      </c>
      <c r="AB35" s="2">
        <f>IF(AQ35="1",BH35,0)</f>
        <v>0</v>
      </c>
      <c r="AC35" s="2">
        <f>IF(AQ35="1",BI35,0)</f>
        <v>0</v>
      </c>
      <c r="AD35" s="2">
        <f>IF(AQ35="7",BH35,0)</f>
        <v>0</v>
      </c>
      <c r="AE35" s="2">
        <f>IF(AQ35="7",BI35,0)</f>
        <v>0</v>
      </c>
      <c r="AF35" s="2">
        <f>IF(AQ35="2",BH35,0)</f>
        <v>0</v>
      </c>
      <c r="AG35" s="2">
        <f>IF(AQ35="2",BI35,0)</f>
        <v>0</v>
      </c>
      <c r="AH35" s="2">
        <f>IF(AQ35="0",BJ35,0)</f>
        <v>0</v>
      </c>
      <c r="AI35" s="41" t="s">
        <v>158</v>
      </c>
      <c r="AJ35" s="2">
        <f>IF(AN35=0,J35,0)</f>
        <v>0</v>
      </c>
      <c r="AK35" s="2">
        <f>IF(AN35=15,J35,0)</f>
        <v>0</v>
      </c>
      <c r="AL35" s="2">
        <f>IF(AN35=21,J35,0)</f>
        <v>0</v>
      </c>
      <c r="AN35" s="2">
        <v>21</v>
      </c>
      <c r="AO35" s="2">
        <f>G35*0.657450139815266</f>
        <v>0</v>
      </c>
      <c r="AP35" s="2">
        <f>G35*(1-0.657450139815266)</f>
        <v>0</v>
      </c>
      <c r="AQ35" s="34" t="s">
        <v>230</v>
      </c>
      <c r="AV35" s="2">
        <f>AW35+AX35</f>
        <v>0</v>
      </c>
      <c r="AW35" s="2">
        <f>F35*AO35</f>
        <v>0</v>
      </c>
      <c r="AX35" s="2">
        <f>F35*AP35</f>
        <v>0</v>
      </c>
      <c r="AY35" s="34" t="s">
        <v>29</v>
      </c>
      <c r="AZ35" s="34" t="s">
        <v>118</v>
      </c>
      <c r="BA35" s="41" t="s">
        <v>173</v>
      </c>
      <c r="BC35" s="2">
        <f>AW35+AX35</f>
        <v>0</v>
      </c>
      <c r="BD35" s="2">
        <f>G35/(100-BE35)*100</f>
        <v>0</v>
      </c>
      <c r="BE35" s="2">
        <v>0</v>
      </c>
      <c r="BF35" s="2">
        <f>L35</f>
        <v>0.287928</v>
      </c>
      <c r="BH35" s="2">
        <f>F35*AO35</f>
        <v>0</v>
      </c>
      <c r="BI35" s="2">
        <f>F35*AP35</f>
        <v>0</v>
      </c>
      <c r="BJ35" s="2">
        <f>F35*G35</f>
        <v>0</v>
      </c>
      <c r="BK35" s="2"/>
      <c r="BL35" s="2">
        <v>766</v>
      </c>
    </row>
    <row r="36" spans="1:13" ht="15" customHeight="1">
      <c r="A36" s="36"/>
      <c r="C36" s="22" t="s">
        <v>97</v>
      </c>
      <c r="D36" s="22" t="s">
        <v>158</v>
      </c>
      <c r="F36" s="24">
        <v>77.4</v>
      </c>
      <c r="M36" s="32"/>
    </row>
    <row r="37" spans="1:47" ht="15" customHeight="1">
      <c r="A37" s="42" t="s">
        <v>158</v>
      </c>
      <c r="B37" s="13" t="s">
        <v>122</v>
      </c>
      <c r="C37" s="80" t="s">
        <v>6</v>
      </c>
      <c r="D37" s="80"/>
      <c r="E37" s="1" t="s">
        <v>215</v>
      </c>
      <c r="F37" s="1" t="s">
        <v>215</v>
      </c>
      <c r="G37" s="1" t="s">
        <v>215</v>
      </c>
      <c r="H37" s="28">
        <f>SUM(H38:H41)</f>
        <v>0</v>
      </c>
      <c r="I37" s="28">
        <f>SUM(I38:I41)</f>
        <v>0</v>
      </c>
      <c r="J37" s="28">
        <f>SUM(J38:J41)</f>
        <v>0</v>
      </c>
      <c r="K37" s="41" t="s">
        <v>158</v>
      </c>
      <c r="L37" s="28">
        <f>SUM(L38:L41)</f>
        <v>0.1856</v>
      </c>
      <c r="M37" s="6" t="s">
        <v>158</v>
      </c>
      <c r="AI37" s="41" t="s">
        <v>158</v>
      </c>
      <c r="AS37" s="28">
        <f>SUM(AJ38:AJ41)</f>
        <v>0</v>
      </c>
      <c r="AT37" s="28">
        <f>SUM(AK38:AK41)</f>
        <v>0</v>
      </c>
      <c r="AU37" s="28">
        <f>SUM(AL38:AL41)</f>
        <v>0</v>
      </c>
    </row>
    <row r="38" spans="1:64" ht="15" customHeight="1">
      <c r="A38" s="21" t="s">
        <v>85</v>
      </c>
      <c r="B38" s="5" t="s">
        <v>58</v>
      </c>
      <c r="C38" s="64" t="s">
        <v>18</v>
      </c>
      <c r="D38" s="64"/>
      <c r="E38" s="5" t="s">
        <v>226</v>
      </c>
      <c r="F38" s="2">
        <v>232</v>
      </c>
      <c r="G38" s="2">
        <v>0</v>
      </c>
      <c r="H38" s="2">
        <f>F38*AO38</f>
        <v>0</v>
      </c>
      <c r="I38" s="2">
        <f>F38*AP38</f>
        <v>0</v>
      </c>
      <c r="J38" s="2">
        <f>F38*G38</f>
        <v>0</v>
      </c>
      <c r="K38" s="2">
        <v>0.00052</v>
      </c>
      <c r="L38" s="2">
        <f>F38*K38</f>
        <v>0.12063999999999998</v>
      </c>
      <c r="M38" s="50" t="s">
        <v>194</v>
      </c>
      <c r="Z38" s="2">
        <f>IF(AQ38="5",BJ38,0)</f>
        <v>0</v>
      </c>
      <c r="AB38" s="2">
        <f>IF(AQ38="1",BH38,0)</f>
        <v>0</v>
      </c>
      <c r="AC38" s="2">
        <f>IF(AQ38="1",BI38,0)</f>
        <v>0</v>
      </c>
      <c r="AD38" s="2">
        <f>IF(AQ38="7",BH38,0)</f>
        <v>0</v>
      </c>
      <c r="AE38" s="2">
        <f>IF(AQ38="7",BI38,0)</f>
        <v>0</v>
      </c>
      <c r="AF38" s="2">
        <f>IF(AQ38="2",BH38,0)</f>
        <v>0</v>
      </c>
      <c r="AG38" s="2">
        <f>IF(AQ38="2",BI38,0)</f>
        <v>0</v>
      </c>
      <c r="AH38" s="2">
        <f>IF(AQ38="0",BJ38,0)</f>
        <v>0</v>
      </c>
      <c r="AI38" s="41" t="s">
        <v>158</v>
      </c>
      <c r="AJ38" s="2">
        <f>IF(AN38=0,J38,0)</f>
        <v>0</v>
      </c>
      <c r="AK38" s="2">
        <f>IF(AN38=15,J38,0)</f>
        <v>0</v>
      </c>
      <c r="AL38" s="2">
        <f>IF(AN38=21,J38,0)</f>
        <v>0</v>
      </c>
      <c r="AN38" s="2">
        <v>21</v>
      </c>
      <c r="AO38" s="2">
        <f>G38*0.704452054794521</f>
        <v>0</v>
      </c>
      <c r="AP38" s="2">
        <f>G38*(1-0.704452054794521)</f>
        <v>0</v>
      </c>
      <c r="AQ38" s="34" t="s">
        <v>230</v>
      </c>
      <c r="AV38" s="2">
        <f>AW38+AX38</f>
        <v>0</v>
      </c>
      <c r="AW38" s="2">
        <f>F38*AO38</f>
        <v>0</v>
      </c>
      <c r="AX38" s="2">
        <f>F38*AP38</f>
        <v>0</v>
      </c>
      <c r="AY38" s="34" t="s">
        <v>204</v>
      </c>
      <c r="AZ38" s="34" t="s">
        <v>101</v>
      </c>
      <c r="BA38" s="41" t="s">
        <v>173</v>
      </c>
      <c r="BC38" s="2">
        <f>AW38+AX38</f>
        <v>0</v>
      </c>
      <c r="BD38" s="2">
        <f>G38/(100-BE38)*100</f>
        <v>0</v>
      </c>
      <c r="BE38" s="2">
        <v>0</v>
      </c>
      <c r="BF38" s="2">
        <f>L38</f>
        <v>0.12063999999999998</v>
      </c>
      <c r="BH38" s="2">
        <f>F38*AO38</f>
        <v>0</v>
      </c>
      <c r="BI38" s="2">
        <f>F38*AP38</f>
        <v>0</v>
      </c>
      <c r="BJ38" s="2">
        <f>F38*G38</f>
        <v>0</v>
      </c>
      <c r="BK38" s="2"/>
      <c r="BL38" s="2">
        <v>784</v>
      </c>
    </row>
    <row r="39" spans="1:13" ht="15" customHeight="1">
      <c r="A39" s="36"/>
      <c r="C39" s="22" t="s">
        <v>67</v>
      </c>
      <c r="D39" s="22" t="s">
        <v>72</v>
      </c>
      <c r="F39" s="24">
        <v>232.00000000000003</v>
      </c>
      <c r="M39" s="32"/>
    </row>
    <row r="40" spans="1:13" ht="27" customHeight="1">
      <c r="A40" s="36"/>
      <c r="B40" s="56" t="s">
        <v>82</v>
      </c>
      <c r="C40" s="81" t="s">
        <v>249</v>
      </c>
      <c r="D40" s="82"/>
      <c r="E40" s="82"/>
      <c r="F40" s="82"/>
      <c r="G40" s="82"/>
      <c r="H40" s="82"/>
      <c r="I40" s="82"/>
      <c r="J40" s="82"/>
      <c r="K40" s="82"/>
      <c r="L40" s="82"/>
      <c r="M40" s="83"/>
    </row>
    <row r="41" spans="1:64" ht="15" customHeight="1">
      <c r="A41" s="21" t="s">
        <v>126</v>
      </c>
      <c r="B41" s="5" t="s">
        <v>136</v>
      </c>
      <c r="C41" s="64" t="s">
        <v>221</v>
      </c>
      <c r="D41" s="64"/>
      <c r="E41" s="5" t="s">
        <v>226</v>
      </c>
      <c r="F41" s="2">
        <v>232</v>
      </c>
      <c r="G41" s="2">
        <v>0</v>
      </c>
      <c r="H41" s="2">
        <f>F41*AO41</f>
        <v>0</v>
      </c>
      <c r="I41" s="2">
        <f>F41*AP41</f>
        <v>0</v>
      </c>
      <c r="J41" s="2">
        <f>F41*G41</f>
        <v>0</v>
      </c>
      <c r="K41" s="2">
        <v>0.00028</v>
      </c>
      <c r="L41" s="2">
        <f>F41*K41</f>
        <v>0.06495999999999999</v>
      </c>
      <c r="M41" s="50" t="s">
        <v>194</v>
      </c>
      <c r="Z41" s="2">
        <f>IF(AQ41="5",BJ41,0)</f>
        <v>0</v>
      </c>
      <c r="AB41" s="2">
        <f>IF(AQ41="1",BH41,0)</f>
        <v>0</v>
      </c>
      <c r="AC41" s="2">
        <f>IF(AQ41="1",BI41,0)</f>
        <v>0</v>
      </c>
      <c r="AD41" s="2">
        <f>IF(AQ41="7",BH41,0)</f>
        <v>0</v>
      </c>
      <c r="AE41" s="2">
        <f>IF(AQ41="7",BI41,0)</f>
        <v>0</v>
      </c>
      <c r="AF41" s="2">
        <f>IF(AQ41="2",BH41,0)</f>
        <v>0</v>
      </c>
      <c r="AG41" s="2">
        <f>IF(AQ41="2",BI41,0)</f>
        <v>0</v>
      </c>
      <c r="AH41" s="2">
        <f>IF(AQ41="0",BJ41,0)</f>
        <v>0</v>
      </c>
      <c r="AI41" s="41" t="s">
        <v>158</v>
      </c>
      <c r="AJ41" s="2">
        <f>IF(AN41=0,J41,0)</f>
        <v>0</v>
      </c>
      <c r="AK41" s="2">
        <f>IF(AN41=15,J41,0)</f>
        <v>0</v>
      </c>
      <c r="AL41" s="2">
        <f>IF(AN41=21,J41,0)</f>
        <v>0</v>
      </c>
      <c r="AN41" s="2">
        <v>21</v>
      </c>
      <c r="AO41" s="2">
        <f>G41*0.136826923076923</f>
        <v>0</v>
      </c>
      <c r="AP41" s="2">
        <f>G41*(1-0.136826923076923)</f>
        <v>0</v>
      </c>
      <c r="AQ41" s="34" t="s">
        <v>230</v>
      </c>
      <c r="AV41" s="2">
        <f>AW41+AX41</f>
        <v>0</v>
      </c>
      <c r="AW41" s="2">
        <f>F41*AO41</f>
        <v>0</v>
      </c>
      <c r="AX41" s="2">
        <f>F41*AP41</f>
        <v>0</v>
      </c>
      <c r="AY41" s="34" t="s">
        <v>204</v>
      </c>
      <c r="AZ41" s="34" t="s">
        <v>101</v>
      </c>
      <c r="BA41" s="41" t="s">
        <v>173</v>
      </c>
      <c r="BC41" s="2">
        <f>AW41+AX41</f>
        <v>0</v>
      </c>
      <c r="BD41" s="2">
        <f>G41/(100-BE41)*100</f>
        <v>0</v>
      </c>
      <c r="BE41" s="2">
        <v>0</v>
      </c>
      <c r="BF41" s="2">
        <f>L41</f>
        <v>0.06495999999999999</v>
      </c>
      <c r="BH41" s="2">
        <f>F41*AO41</f>
        <v>0</v>
      </c>
      <c r="BI41" s="2">
        <f>F41*AP41</f>
        <v>0</v>
      </c>
      <c r="BJ41" s="2">
        <f>F41*G41</f>
        <v>0</v>
      </c>
      <c r="BK41" s="2"/>
      <c r="BL41" s="2">
        <v>784</v>
      </c>
    </row>
    <row r="42" spans="1:13" ht="15" customHeight="1">
      <c r="A42" s="36"/>
      <c r="C42" s="22" t="s">
        <v>67</v>
      </c>
      <c r="D42" s="22" t="s">
        <v>158</v>
      </c>
      <c r="F42" s="24">
        <v>232.00000000000003</v>
      </c>
      <c r="M42" s="32"/>
    </row>
    <row r="43" spans="1:13" ht="13.5" customHeight="1">
      <c r="A43" s="36"/>
      <c r="B43" s="56" t="s">
        <v>82</v>
      </c>
      <c r="C43" s="81" t="s">
        <v>190</v>
      </c>
      <c r="D43" s="82"/>
      <c r="E43" s="82"/>
      <c r="F43" s="82"/>
      <c r="G43" s="82"/>
      <c r="H43" s="82"/>
      <c r="I43" s="82"/>
      <c r="J43" s="82"/>
      <c r="K43" s="82"/>
      <c r="L43" s="82"/>
      <c r="M43" s="83"/>
    </row>
    <row r="44" spans="1:47" ht="15" customHeight="1">
      <c r="A44" s="42" t="s">
        <v>158</v>
      </c>
      <c r="B44" s="13" t="s">
        <v>123</v>
      </c>
      <c r="C44" s="80" t="s">
        <v>171</v>
      </c>
      <c r="D44" s="80"/>
      <c r="E44" s="1" t="s">
        <v>215</v>
      </c>
      <c r="F44" s="1" t="s">
        <v>215</v>
      </c>
      <c r="G44" s="1" t="s">
        <v>215</v>
      </c>
      <c r="H44" s="28">
        <f>SUM(H45:H50)</f>
        <v>0</v>
      </c>
      <c r="I44" s="28">
        <f>SUM(I45:I50)</f>
        <v>0</v>
      </c>
      <c r="J44" s="28">
        <f>SUM(J45:J50)</f>
        <v>0</v>
      </c>
      <c r="K44" s="41" t="s">
        <v>158</v>
      </c>
      <c r="L44" s="28">
        <f>SUM(L45:L50)</f>
        <v>13.178025000000002</v>
      </c>
      <c r="M44" s="6" t="s">
        <v>158</v>
      </c>
      <c r="AI44" s="41" t="s">
        <v>158</v>
      </c>
      <c r="AS44" s="28">
        <f>SUM(AJ45:AJ50)</f>
        <v>0</v>
      </c>
      <c r="AT44" s="28">
        <f>SUM(AK45:AK50)</f>
        <v>0</v>
      </c>
      <c r="AU44" s="28">
        <f>SUM(AL45:AL50)</f>
        <v>0</v>
      </c>
    </row>
    <row r="45" spans="1:64" ht="15" customHeight="1">
      <c r="A45" s="21" t="s">
        <v>193</v>
      </c>
      <c r="B45" s="5" t="s">
        <v>191</v>
      </c>
      <c r="C45" s="64" t="s">
        <v>105</v>
      </c>
      <c r="D45" s="64"/>
      <c r="E45" s="5" t="s">
        <v>55</v>
      </c>
      <c r="F45" s="2">
        <v>232</v>
      </c>
      <c r="G45" s="2">
        <v>0</v>
      </c>
      <c r="H45" s="2">
        <f>F45*AO45</f>
        <v>0</v>
      </c>
      <c r="I45" s="2">
        <f>F45*AP45</f>
        <v>0</v>
      </c>
      <c r="J45" s="2">
        <f>F45*G45</f>
        <v>0</v>
      </c>
      <c r="K45" s="2">
        <v>0</v>
      </c>
      <c r="L45" s="2">
        <f>F45*K45</f>
        <v>0</v>
      </c>
      <c r="M45" s="50" t="s">
        <v>194</v>
      </c>
      <c r="Z45" s="2">
        <f>IF(AQ45="5",BJ45,0)</f>
        <v>0</v>
      </c>
      <c r="AB45" s="2">
        <f>IF(AQ45="1",BH45,0)</f>
        <v>0</v>
      </c>
      <c r="AC45" s="2">
        <f>IF(AQ45="1",BI45,0)</f>
        <v>0</v>
      </c>
      <c r="AD45" s="2">
        <f>IF(AQ45="7",BH45,0)</f>
        <v>0</v>
      </c>
      <c r="AE45" s="2">
        <f>IF(AQ45="7",BI45,0)</f>
        <v>0</v>
      </c>
      <c r="AF45" s="2">
        <f>IF(AQ45="2",BH45,0)</f>
        <v>0</v>
      </c>
      <c r="AG45" s="2">
        <f>IF(AQ45="2",BI45,0)</f>
        <v>0</v>
      </c>
      <c r="AH45" s="2">
        <f>IF(AQ45="0",BJ45,0)</f>
        <v>0</v>
      </c>
      <c r="AI45" s="41" t="s">
        <v>158</v>
      </c>
      <c r="AJ45" s="2">
        <f>IF(AN45=0,J45,0)</f>
        <v>0</v>
      </c>
      <c r="AK45" s="2">
        <f>IF(AN45=15,J45,0)</f>
        <v>0</v>
      </c>
      <c r="AL45" s="2">
        <f>IF(AN45=21,J45,0)</f>
        <v>0</v>
      </c>
      <c r="AN45" s="2">
        <v>21</v>
      </c>
      <c r="AO45" s="2">
        <f>G45*0</f>
        <v>0</v>
      </c>
      <c r="AP45" s="2">
        <f>G45*(1-0)</f>
        <v>0</v>
      </c>
      <c r="AQ45" s="34" t="s">
        <v>229</v>
      </c>
      <c r="AV45" s="2">
        <f>AW45+AX45</f>
        <v>0</v>
      </c>
      <c r="AW45" s="2">
        <f>F45*AO45</f>
        <v>0</v>
      </c>
      <c r="AX45" s="2">
        <f>F45*AP45</f>
        <v>0</v>
      </c>
      <c r="AY45" s="34" t="s">
        <v>203</v>
      </c>
      <c r="AZ45" s="34" t="s">
        <v>80</v>
      </c>
      <c r="BA45" s="41" t="s">
        <v>173</v>
      </c>
      <c r="BC45" s="2">
        <f>AW45+AX45</f>
        <v>0</v>
      </c>
      <c r="BD45" s="2">
        <f>G45/(100-BE45)*100</f>
        <v>0</v>
      </c>
      <c r="BE45" s="2">
        <v>0</v>
      </c>
      <c r="BF45" s="2">
        <f>L45</f>
        <v>0</v>
      </c>
      <c r="BH45" s="2">
        <f>F45*AO45</f>
        <v>0</v>
      </c>
      <c r="BI45" s="2">
        <f>F45*AP45</f>
        <v>0</v>
      </c>
      <c r="BJ45" s="2">
        <f>F45*G45</f>
        <v>0</v>
      </c>
      <c r="BK45" s="2"/>
      <c r="BL45" s="2">
        <v>96</v>
      </c>
    </row>
    <row r="46" spans="1:13" ht="15" customHeight="1">
      <c r="A46" s="36"/>
      <c r="C46" s="22" t="s">
        <v>167</v>
      </c>
      <c r="D46" s="22" t="s">
        <v>158</v>
      </c>
      <c r="F46" s="24">
        <v>96.00000000000001</v>
      </c>
      <c r="M46" s="32"/>
    </row>
    <row r="47" spans="1:13" ht="15" customHeight="1">
      <c r="A47" s="36"/>
      <c r="C47" s="22" t="s">
        <v>134</v>
      </c>
      <c r="D47" s="22" t="s">
        <v>158</v>
      </c>
      <c r="F47" s="24">
        <v>124.00000000000001</v>
      </c>
      <c r="M47" s="32"/>
    </row>
    <row r="48" spans="1:13" ht="15" customHeight="1">
      <c r="A48" s="36"/>
      <c r="C48" s="22" t="s">
        <v>87</v>
      </c>
      <c r="D48" s="22" t="s">
        <v>158</v>
      </c>
      <c r="F48" s="24">
        <v>12.000000000000002</v>
      </c>
      <c r="M48" s="32"/>
    </row>
    <row r="49" spans="1:13" ht="13.5" customHeight="1">
      <c r="A49" s="36"/>
      <c r="B49" s="56" t="s">
        <v>82</v>
      </c>
      <c r="C49" s="81" t="s">
        <v>39</v>
      </c>
      <c r="D49" s="82"/>
      <c r="E49" s="82"/>
      <c r="F49" s="82"/>
      <c r="G49" s="82"/>
      <c r="H49" s="82"/>
      <c r="I49" s="82"/>
      <c r="J49" s="82"/>
      <c r="K49" s="82"/>
      <c r="L49" s="82"/>
      <c r="M49" s="83"/>
    </row>
    <row r="50" spans="1:64" ht="15" customHeight="1">
      <c r="A50" s="21" t="s">
        <v>169</v>
      </c>
      <c r="B50" s="5" t="s">
        <v>1</v>
      </c>
      <c r="C50" s="64" t="s">
        <v>94</v>
      </c>
      <c r="D50" s="64"/>
      <c r="E50" s="5" t="s">
        <v>226</v>
      </c>
      <c r="F50" s="2">
        <v>209.175</v>
      </c>
      <c r="G50" s="2">
        <v>0</v>
      </c>
      <c r="H50" s="2">
        <f>F50*AO50</f>
        <v>0</v>
      </c>
      <c r="I50" s="2">
        <f>F50*AP50</f>
        <v>0</v>
      </c>
      <c r="J50" s="2">
        <f>F50*G50</f>
        <v>0</v>
      </c>
      <c r="K50" s="2">
        <v>0.063</v>
      </c>
      <c r="L50" s="2">
        <f>F50*K50</f>
        <v>13.178025000000002</v>
      </c>
      <c r="M50" s="50" t="s">
        <v>194</v>
      </c>
      <c r="Z50" s="2">
        <f>IF(AQ50="5",BJ50,0)</f>
        <v>0</v>
      </c>
      <c r="AB50" s="2">
        <f>IF(AQ50="1",BH50,0)</f>
        <v>0</v>
      </c>
      <c r="AC50" s="2">
        <f>IF(AQ50="1",BI50,0)</f>
        <v>0</v>
      </c>
      <c r="AD50" s="2">
        <f>IF(AQ50="7",BH50,0)</f>
        <v>0</v>
      </c>
      <c r="AE50" s="2">
        <f>IF(AQ50="7",BI50,0)</f>
        <v>0</v>
      </c>
      <c r="AF50" s="2">
        <f>IF(AQ50="2",BH50,0)</f>
        <v>0</v>
      </c>
      <c r="AG50" s="2">
        <f>IF(AQ50="2",BI50,0)</f>
        <v>0</v>
      </c>
      <c r="AH50" s="2">
        <f>IF(AQ50="0",BJ50,0)</f>
        <v>0</v>
      </c>
      <c r="AI50" s="41" t="s">
        <v>158</v>
      </c>
      <c r="AJ50" s="2">
        <f>IF(AN50=0,J50,0)</f>
        <v>0</v>
      </c>
      <c r="AK50" s="2">
        <f>IF(AN50=15,J50,0)</f>
        <v>0</v>
      </c>
      <c r="AL50" s="2">
        <f>IF(AN50=21,J50,0)</f>
        <v>0</v>
      </c>
      <c r="AN50" s="2">
        <v>21</v>
      </c>
      <c r="AO50" s="2">
        <f>G50*0.101313644715048</f>
        <v>0</v>
      </c>
      <c r="AP50" s="2">
        <f>G50*(1-0.101313644715048)</f>
        <v>0</v>
      </c>
      <c r="AQ50" s="34" t="s">
        <v>229</v>
      </c>
      <c r="AV50" s="2">
        <f>AW50+AX50</f>
        <v>0</v>
      </c>
      <c r="AW50" s="2">
        <f>F50*AO50</f>
        <v>0</v>
      </c>
      <c r="AX50" s="2">
        <f>F50*AP50</f>
        <v>0</v>
      </c>
      <c r="AY50" s="34" t="s">
        <v>203</v>
      </c>
      <c r="AZ50" s="34" t="s">
        <v>80</v>
      </c>
      <c r="BA50" s="41" t="s">
        <v>173</v>
      </c>
      <c r="BC50" s="2">
        <f>AW50+AX50</f>
        <v>0</v>
      </c>
      <c r="BD50" s="2">
        <f>G50/(100-BE50)*100</f>
        <v>0</v>
      </c>
      <c r="BE50" s="2">
        <v>0</v>
      </c>
      <c r="BF50" s="2">
        <f>L50</f>
        <v>13.178025000000002</v>
      </c>
      <c r="BH50" s="2">
        <f>F50*AO50</f>
        <v>0</v>
      </c>
      <c r="BI50" s="2">
        <f>F50*AP50</f>
        <v>0</v>
      </c>
      <c r="BJ50" s="2">
        <f>F50*G50</f>
        <v>0</v>
      </c>
      <c r="BK50" s="2"/>
      <c r="BL50" s="2">
        <v>96</v>
      </c>
    </row>
    <row r="51" spans="1:13" ht="15" customHeight="1">
      <c r="A51" s="36"/>
      <c r="C51" s="22" t="s">
        <v>31</v>
      </c>
      <c r="D51" s="22" t="s">
        <v>158</v>
      </c>
      <c r="F51" s="24">
        <v>95.25600000000001</v>
      </c>
      <c r="M51" s="32"/>
    </row>
    <row r="52" spans="1:13" ht="15" customHeight="1">
      <c r="A52" s="36"/>
      <c r="C52" s="22" t="s">
        <v>186</v>
      </c>
      <c r="D52" s="22" t="s">
        <v>158</v>
      </c>
      <c r="F52" s="24">
        <v>106.299</v>
      </c>
      <c r="M52" s="32"/>
    </row>
    <row r="53" spans="1:13" ht="15" customHeight="1">
      <c r="A53" s="36"/>
      <c r="C53" s="22" t="s">
        <v>11</v>
      </c>
      <c r="D53" s="22" t="s">
        <v>158</v>
      </c>
      <c r="F53" s="24">
        <v>7.620000000000001</v>
      </c>
      <c r="M53" s="32"/>
    </row>
    <row r="54" spans="1:13" ht="27" customHeight="1">
      <c r="A54" s="36"/>
      <c r="B54" s="56" t="s">
        <v>82</v>
      </c>
      <c r="C54" s="81" t="s">
        <v>46</v>
      </c>
      <c r="D54" s="82"/>
      <c r="E54" s="82"/>
      <c r="F54" s="82"/>
      <c r="G54" s="82"/>
      <c r="H54" s="82"/>
      <c r="I54" s="82"/>
      <c r="J54" s="82"/>
      <c r="K54" s="82"/>
      <c r="L54" s="82"/>
      <c r="M54" s="83"/>
    </row>
    <row r="55" spans="1:47" ht="15" customHeight="1">
      <c r="A55" s="42" t="s">
        <v>158</v>
      </c>
      <c r="B55" s="13" t="s">
        <v>144</v>
      </c>
      <c r="C55" s="80" t="s">
        <v>133</v>
      </c>
      <c r="D55" s="80"/>
      <c r="E55" s="1" t="s">
        <v>215</v>
      </c>
      <c r="F55" s="1" t="s">
        <v>215</v>
      </c>
      <c r="G55" s="1" t="s">
        <v>215</v>
      </c>
      <c r="H55" s="28">
        <f>SUM(H56:H56)</f>
        <v>0</v>
      </c>
      <c r="I55" s="28">
        <f>SUM(I56:I56)</f>
        <v>0</v>
      </c>
      <c r="J55" s="28">
        <f>SUM(J56:J56)</f>
        <v>0</v>
      </c>
      <c r="K55" s="41" t="s">
        <v>158</v>
      </c>
      <c r="L55" s="28">
        <f>SUM(L56:L56)</f>
        <v>0</v>
      </c>
      <c r="M55" s="6" t="s">
        <v>158</v>
      </c>
      <c r="AI55" s="41" t="s">
        <v>158</v>
      </c>
      <c r="AS55" s="28">
        <f>SUM(AJ56:AJ56)</f>
        <v>0</v>
      </c>
      <c r="AT55" s="28">
        <f>SUM(AK56:AK56)</f>
        <v>0</v>
      </c>
      <c r="AU55" s="28">
        <f>SUM(AL56:AL56)</f>
        <v>0</v>
      </c>
    </row>
    <row r="56" spans="1:64" ht="15" customHeight="1">
      <c r="A56" s="21" t="s">
        <v>66</v>
      </c>
      <c r="B56" s="5" t="s">
        <v>28</v>
      </c>
      <c r="C56" s="64" t="s">
        <v>71</v>
      </c>
      <c r="D56" s="64"/>
      <c r="E56" s="5" t="s">
        <v>104</v>
      </c>
      <c r="F56" s="2">
        <v>8.919</v>
      </c>
      <c r="G56" s="2">
        <v>0</v>
      </c>
      <c r="H56" s="2">
        <f>F56*AO56</f>
        <v>0</v>
      </c>
      <c r="I56" s="2">
        <f>F56*AP56</f>
        <v>0</v>
      </c>
      <c r="J56" s="2">
        <f>F56*G56</f>
        <v>0</v>
      </c>
      <c r="K56" s="2">
        <v>0</v>
      </c>
      <c r="L56" s="2">
        <f>F56*K56</f>
        <v>0</v>
      </c>
      <c r="M56" s="50" t="s">
        <v>194</v>
      </c>
      <c r="Z56" s="2">
        <f>IF(AQ56="5",BJ56,0)</f>
        <v>0</v>
      </c>
      <c r="AB56" s="2">
        <f>IF(AQ56="1",BH56,0)</f>
        <v>0</v>
      </c>
      <c r="AC56" s="2">
        <f>IF(AQ56="1",BI56,0)</f>
        <v>0</v>
      </c>
      <c r="AD56" s="2">
        <f>IF(AQ56="7",BH56,0)</f>
        <v>0</v>
      </c>
      <c r="AE56" s="2">
        <f>IF(AQ56="7",BI56,0)</f>
        <v>0</v>
      </c>
      <c r="AF56" s="2">
        <f>IF(AQ56="2",BH56,0)</f>
        <v>0</v>
      </c>
      <c r="AG56" s="2">
        <f>IF(AQ56="2",BI56,0)</f>
        <v>0</v>
      </c>
      <c r="AH56" s="2">
        <f>IF(AQ56="0",BJ56,0)</f>
        <v>0</v>
      </c>
      <c r="AI56" s="41" t="s">
        <v>158</v>
      </c>
      <c r="AJ56" s="2">
        <f>IF(AN56=0,J56,0)</f>
        <v>0</v>
      </c>
      <c r="AK56" s="2">
        <f>IF(AN56=15,J56,0)</f>
        <v>0</v>
      </c>
      <c r="AL56" s="2">
        <f>IF(AN56=21,J56,0)</f>
        <v>0</v>
      </c>
      <c r="AN56" s="2">
        <v>21</v>
      </c>
      <c r="AO56" s="2">
        <f>G56*0</f>
        <v>0</v>
      </c>
      <c r="AP56" s="2">
        <f>G56*(1-0)</f>
        <v>0</v>
      </c>
      <c r="AQ56" s="34" t="s">
        <v>117</v>
      </c>
      <c r="AV56" s="2">
        <f>AW56+AX56</f>
        <v>0</v>
      </c>
      <c r="AW56" s="2">
        <f>F56*AO56</f>
        <v>0</v>
      </c>
      <c r="AX56" s="2">
        <f>F56*AP56</f>
        <v>0</v>
      </c>
      <c r="AY56" s="34" t="s">
        <v>237</v>
      </c>
      <c r="AZ56" s="34" t="s">
        <v>80</v>
      </c>
      <c r="BA56" s="41" t="s">
        <v>173</v>
      </c>
      <c r="BC56" s="2">
        <f>AW56+AX56</f>
        <v>0</v>
      </c>
      <c r="BD56" s="2">
        <f>G56/(100-BE56)*100</f>
        <v>0</v>
      </c>
      <c r="BE56" s="2">
        <v>0</v>
      </c>
      <c r="BF56" s="2">
        <f>L56</f>
        <v>0</v>
      </c>
      <c r="BH56" s="2">
        <f>F56*AO56</f>
        <v>0</v>
      </c>
      <c r="BI56" s="2">
        <f>F56*AP56</f>
        <v>0</v>
      </c>
      <c r="BJ56" s="2">
        <f>F56*G56</f>
        <v>0</v>
      </c>
      <c r="BK56" s="2"/>
      <c r="BL56" s="2"/>
    </row>
    <row r="57" spans="1:13" ht="15" customHeight="1">
      <c r="A57" s="36"/>
      <c r="C57" s="22" t="s">
        <v>211</v>
      </c>
      <c r="D57" s="22" t="s">
        <v>158</v>
      </c>
      <c r="F57" s="24">
        <v>8.919</v>
      </c>
      <c r="M57" s="32"/>
    </row>
    <row r="58" spans="1:47" ht="15" customHeight="1">
      <c r="A58" s="42" t="s">
        <v>158</v>
      </c>
      <c r="B58" s="13" t="s">
        <v>74</v>
      </c>
      <c r="C58" s="80" t="s">
        <v>98</v>
      </c>
      <c r="D58" s="80"/>
      <c r="E58" s="1" t="s">
        <v>215</v>
      </c>
      <c r="F58" s="1" t="s">
        <v>215</v>
      </c>
      <c r="G58" s="1" t="s">
        <v>215</v>
      </c>
      <c r="H58" s="28">
        <f>SUM(H59:H69)</f>
        <v>0</v>
      </c>
      <c r="I58" s="28">
        <f>SUM(I59:I69)</f>
        <v>0</v>
      </c>
      <c r="J58" s="28">
        <f>SUM(J59:J69)</f>
        <v>0</v>
      </c>
      <c r="K58" s="41" t="s">
        <v>158</v>
      </c>
      <c r="L58" s="28">
        <f>SUM(L59:L69)</f>
        <v>0</v>
      </c>
      <c r="M58" s="6" t="s">
        <v>158</v>
      </c>
      <c r="AI58" s="41" t="s">
        <v>158</v>
      </c>
      <c r="AS58" s="28">
        <f>SUM(AJ59:AJ69)</f>
        <v>0</v>
      </c>
      <c r="AT58" s="28">
        <f>SUM(AK59:AK69)</f>
        <v>0</v>
      </c>
      <c r="AU58" s="28">
        <f>SUM(AL59:AL69)</f>
        <v>0</v>
      </c>
    </row>
    <row r="59" spans="1:64" ht="15" customHeight="1">
      <c r="A59" s="21" t="s">
        <v>129</v>
      </c>
      <c r="B59" s="5" t="s">
        <v>238</v>
      </c>
      <c r="C59" s="64" t="s">
        <v>60</v>
      </c>
      <c r="D59" s="64"/>
      <c r="E59" s="5" t="s">
        <v>104</v>
      </c>
      <c r="F59" s="2">
        <v>13.178</v>
      </c>
      <c r="G59" s="2">
        <v>0</v>
      </c>
      <c r="H59" s="2">
        <f>F59*AO59</f>
        <v>0</v>
      </c>
      <c r="I59" s="2">
        <f>F59*AP59</f>
        <v>0</v>
      </c>
      <c r="J59" s="2">
        <f>F59*G59</f>
        <v>0</v>
      </c>
      <c r="K59" s="2">
        <v>0</v>
      </c>
      <c r="L59" s="2">
        <f>F59*K59</f>
        <v>0</v>
      </c>
      <c r="M59" s="50" t="s">
        <v>194</v>
      </c>
      <c r="Z59" s="2">
        <f>IF(AQ59="5",BJ59,0)</f>
        <v>0</v>
      </c>
      <c r="AB59" s="2">
        <f>IF(AQ59="1",BH59,0)</f>
        <v>0</v>
      </c>
      <c r="AC59" s="2">
        <f>IF(AQ59="1",BI59,0)</f>
        <v>0</v>
      </c>
      <c r="AD59" s="2">
        <f>IF(AQ59="7",BH59,0)</f>
        <v>0</v>
      </c>
      <c r="AE59" s="2">
        <f>IF(AQ59="7",BI59,0)</f>
        <v>0</v>
      </c>
      <c r="AF59" s="2">
        <f>IF(AQ59="2",BH59,0)</f>
        <v>0</v>
      </c>
      <c r="AG59" s="2">
        <f>IF(AQ59="2",BI59,0)</f>
        <v>0</v>
      </c>
      <c r="AH59" s="2">
        <f>IF(AQ59="0",BJ59,0)</f>
        <v>0</v>
      </c>
      <c r="AI59" s="41" t="s">
        <v>158</v>
      </c>
      <c r="AJ59" s="2">
        <f>IF(AN59=0,J59,0)</f>
        <v>0</v>
      </c>
      <c r="AK59" s="2">
        <f>IF(AN59=15,J59,0)</f>
        <v>0</v>
      </c>
      <c r="AL59" s="2">
        <f>IF(AN59=21,J59,0)</f>
        <v>0</v>
      </c>
      <c r="AN59" s="2">
        <v>21</v>
      </c>
      <c r="AO59" s="2">
        <f>G59*0</f>
        <v>0</v>
      </c>
      <c r="AP59" s="2">
        <f>G59*(1-0)</f>
        <v>0</v>
      </c>
      <c r="AQ59" s="34" t="s">
        <v>117</v>
      </c>
      <c r="AV59" s="2">
        <f>AW59+AX59</f>
        <v>0</v>
      </c>
      <c r="AW59" s="2">
        <f>F59*AO59</f>
        <v>0</v>
      </c>
      <c r="AX59" s="2">
        <f>F59*AP59</f>
        <v>0</v>
      </c>
      <c r="AY59" s="34" t="s">
        <v>95</v>
      </c>
      <c r="AZ59" s="34" t="s">
        <v>80</v>
      </c>
      <c r="BA59" s="41" t="s">
        <v>173</v>
      </c>
      <c r="BC59" s="2">
        <f>AW59+AX59</f>
        <v>0</v>
      </c>
      <c r="BD59" s="2">
        <f>G59/(100-BE59)*100</f>
        <v>0</v>
      </c>
      <c r="BE59" s="2">
        <v>0</v>
      </c>
      <c r="BF59" s="2">
        <f>L59</f>
        <v>0</v>
      </c>
      <c r="BH59" s="2">
        <f>F59*AO59</f>
        <v>0</v>
      </c>
      <c r="BI59" s="2">
        <f>F59*AP59</f>
        <v>0</v>
      </c>
      <c r="BJ59" s="2">
        <f>F59*G59</f>
        <v>0</v>
      </c>
      <c r="BK59" s="2"/>
      <c r="BL59" s="2"/>
    </row>
    <row r="60" spans="1:13" ht="15" customHeight="1">
      <c r="A60" s="36"/>
      <c r="C60" s="22" t="s">
        <v>0</v>
      </c>
      <c r="D60" s="22" t="s">
        <v>158</v>
      </c>
      <c r="F60" s="24">
        <v>13.178</v>
      </c>
      <c r="M60" s="32"/>
    </row>
    <row r="61" spans="1:13" ht="13.5" customHeight="1">
      <c r="A61" s="36"/>
      <c r="B61" s="56" t="s">
        <v>82</v>
      </c>
      <c r="C61" s="81" t="s">
        <v>161</v>
      </c>
      <c r="D61" s="82"/>
      <c r="E61" s="82"/>
      <c r="F61" s="82"/>
      <c r="G61" s="82"/>
      <c r="H61" s="82"/>
      <c r="I61" s="82"/>
      <c r="J61" s="82"/>
      <c r="K61" s="82"/>
      <c r="L61" s="82"/>
      <c r="M61" s="83"/>
    </row>
    <row r="62" spans="1:64" ht="15" customHeight="1">
      <c r="A62" s="21" t="s">
        <v>86</v>
      </c>
      <c r="B62" s="5" t="s">
        <v>178</v>
      </c>
      <c r="C62" s="64" t="s">
        <v>147</v>
      </c>
      <c r="D62" s="64"/>
      <c r="E62" s="5" t="s">
        <v>104</v>
      </c>
      <c r="F62" s="2">
        <v>13.178</v>
      </c>
      <c r="G62" s="2">
        <v>0</v>
      </c>
      <c r="H62" s="2">
        <f>F62*AO62</f>
        <v>0</v>
      </c>
      <c r="I62" s="2">
        <f>F62*AP62</f>
        <v>0</v>
      </c>
      <c r="J62" s="2">
        <f>F62*G62</f>
        <v>0</v>
      </c>
      <c r="K62" s="2">
        <v>0</v>
      </c>
      <c r="L62" s="2">
        <f>F62*K62</f>
        <v>0</v>
      </c>
      <c r="M62" s="50" t="s">
        <v>194</v>
      </c>
      <c r="Z62" s="2">
        <f>IF(AQ62="5",BJ62,0)</f>
        <v>0</v>
      </c>
      <c r="AB62" s="2">
        <f>IF(AQ62="1",BH62,0)</f>
        <v>0</v>
      </c>
      <c r="AC62" s="2">
        <f>IF(AQ62="1",BI62,0)</f>
        <v>0</v>
      </c>
      <c r="AD62" s="2">
        <f>IF(AQ62="7",BH62,0)</f>
        <v>0</v>
      </c>
      <c r="AE62" s="2">
        <f>IF(AQ62="7",BI62,0)</f>
        <v>0</v>
      </c>
      <c r="AF62" s="2">
        <f>IF(AQ62="2",BH62,0)</f>
        <v>0</v>
      </c>
      <c r="AG62" s="2">
        <f>IF(AQ62="2",BI62,0)</f>
        <v>0</v>
      </c>
      <c r="AH62" s="2">
        <f>IF(AQ62="0",BJ62,0)</f>
        <v>0</v>
      </c>
      <c r="AI62" s="41" t="s">
        <v>158</v>
      </c>
      <c r="AJ62" s="2">
        <f>IF(AN62=0,J62,0)</f>
        <v>0</v>
      </c>
      <c r="AK62" s="2">
        <f>IF(AN62=15,J62,0)</f>
        <v>0</v>
      </c>
      <c r="AL62" s="2">
        <f>IF(AN62=21,J62,0)</f>
        <v>0</v>
      </c>
      <c r="AN62" s="2">
        <v>21</v>
      </c>
      <c r="AO62" s="2">
        <f>G62*0.0101450521251002</f>
        <v>0</v>
      </c>
      <c r="AP62" s="2">
        <f>G62*(1-0.0101450521251002)</f>
        <v>0</v>
      </c>
      <c r="AQ62" s="34" t="s">
        <v>117</v>
      </c>
      <c r="AV62" s="2">
        <f>AW62+AX62</f>
        <v>0</v>
      </c>
      <c r="AW62" s="2">
        <f>F62*AO62</f>
        <v>0</v>
      </c>
      <c r="AX62" s="2">
        <f>F62*AP62</f>
        <v>0</v>
      </c>
      <c r="AY62" s="34" t="s">
        <v>95</v>
      </c>
      <c r="AZ62" s="34" t="s">
        <v>80</v>
      </c>
      <c r="BA62" s="41" t="s">
        <v>173</v>
      </c>
      <c r="BC62" s="2">
        <f>AW62+AX62</f>
        <v>0</v>
      </c>
      <c r="BD62" s="2">
        <f>G62/(100-BE62)*100</f>
        <v>0</v>
      </c>
      <c r="BE62" s="2">
        <v>0</v>
      </c>
      <c r="BF62" s="2">
        <f>L62</f>
        <v>0</v>
      </c>
      <c r="BH62" s="2">
        <f>F62*AO62</f>
        <v>0</v>
      </c>
      <c r="BI62" s="2">
        <f>F62*AP62</f>
        <v>0</v>
      </c>
      <c r="BJ62" s="2">
        <f>F62*G62</f>
        <v>0</v>
      </c>
      <c r="BK62" s="2"/>
      <c r="BL62" s="2"/>
    </row>
    <row r="63" spans="1:13" ht="15" customHeight="1">
      <c r="A63" s="36"/>
      <c r="C63" s="22" t="s">
        <v>0</v>
      </c>
      <c r="D63" s="22" t="s">
        <v>158</v>
      </c>
      <c r="F63" s="24">
        <v>13.178</v>
      </c>
      <c r="M63" s="32"/>
    </row>
    <row r="64" spans="1:13" ht="13.5" customHeight="1">
      <c r="A64" s="36"/>
      <c r="B64" s="56" t="s">
        <v>82</v>
      </c>
      <c r="C64" s="81" t="s">
        <v>108</v>
      </c>
      <c r="D64" s="82"/>
      <c r="E64" s="82"/>
      <c r="F64" s="82"/>
      <c r="G64" s="82"/>
      <c r="H64" s="82"/>
      <c r="I64" s="82"/>
      <c r="J64" s="82"/>
      <c r="K64" s="82"/>
      <c r="L64" s="82"/>
      <c r="M64" s="83"/>
    </row>
    <row r="65" spans="1:64" ht="15" customHeight="1">
      <c r="A65" s="21" t="s">
        <v>22</v>
      </c>
      <c r="B65" s="5" t="s">
        <v>154</v>
      </c>
      <c r="C65" s="64" t="s">
        <v>65</v>
      </c>
      <c r="D65" s="64"/>
      <c r="E65" s="5" t="s">
        <v>104</v>
      </c>
      <c r="F65" s="2">
        <v>342.628</v>
      </c>
      <c r="G65" s="2">
        <v>0</v>
      </c>
      <c r="H65" s="2">
        <f>F65*AO65</f>
        <v>0</v>
      </c>
      <c r="I65" s="2">
        <f>F65*AP65</f>
        <v>0</v>
      </c>
      <c r="J65" s="2">
        <f>F65*G65</f>
        <v>0</v>
      </c>
      <c r="K65" s="2">
        <v>0</v>
      </c>
      <c r="L65" s="2">
        <f>F65*K65</f>
        <v>0</v>
      </c>
      <c r="M65" s="50" t="s">
        <v>194</v>
      </c>
      <c r="Z65" s="2">
        <f>IF(AQ65="5",BJ65,0)</f>
        <v>0</v>
      </c>
      <c r="AB65" s="2">
        <f>IF(AQ65="1",BH65,0)</f>
        <v>0</v>
      </c>
      <c r="AC65" s="2">
        <f>IF(AQ65="1",BI65,0)</f>
        <v>0</v>
      </c>
      <c r="AD65" s="2">
        <f>IF(AQ65="7",BH65,0)</f>
        <v>0</v>
      </c>
      <c r="AE65" s="2">
        <f>IF(AQ65="7",BI65,0)</f>
        <v>0</v>
      </c>
      <c r="AF65" s="2">
        <f>IF(AQ65="2",BH65,0)</f>
        <v>0</v>
      </c>
      <c r="AG65" s="2">
        <f>IF(AQ65="2",BI65,0)</f>
        <v>0</v>
      </c>
      <c r="AH65" s="2">
        <f>IF(AQ65="0",BJ65,0)</f>
        <v>0</v>
      </c>
      <c r="AI65" s="41" t="s">
        <v>158</v>
      </c>
      <c r="AJ65" s="2">
        <f>IF(AN65=0,J65,0)</f>
        <v>0</v>
      </c>
      <c r="AK65" s="2">
        <f>IF(AN65=15,J65,0)</f>
        <v>0</v>
      </c>
      <c r="AL65" s="2">
        <f>IF(AN65=21,J65,0)</f>
        <v>0</v>
      </c>
      <c r="AN65" s="2">
        <v>21</v>
      </c>
      <c r="AO65" s="2">
        <f>G65*0</f>
        <v>0</v>
      </c>
      <c r="AP65" s="2">
        <f>G65*(1-0)</f>
        <v>0</v>
      </c>
      <c r="AQ65" s="34" t="s">
        <v>117</v>
      </c>
      <c r="AV65" s="2">
        <f>AW65+AX65</f>
        <v>0</v>
      </c>
      <c r="AW65" s="2">
        <f>F65*AO65</f>
        <v>0</v>
      </c>
      <c r="AX65" s="2">
        <f>F65*AP65</f>
        <v>0</v>
      </c>
      <c r="AY65" s="34" t="s">
        <v>95</v>
      </c>
      <c r="AZ65" s="34" t="s">
        <v>80</v>
      </c>
      <c r="BA65" s="41" t="s">
        <v>173</v>
      </c>
      <c r="BC65" s="2">
        <f>AW65+AX65</f>
        <v>0</v>
      </c>
      <c r="BD65" s="2">
        <f>G65/(100-BE65)*100</f>
        <v>0</v>
      </c>
      <c r="BE65" s="2">
        <v>0</v>
      </c>
      <c r="BF65" s="2">
        <f>L65</f>
        <v>0</v>
      </c>
      <c r="BH65" s="2">
        <f>F65*AO65</f>
        <v>0</v>
      </c>
      <c r="BI65" s="2">
        <f>F65*AP65</f>
        <v>0</v>
      </c>
      <c r="BJ65" s="2">
        <f>F65*G65</f>
        <v>0</v>
      </c>
      <c r="BK65" s="2"/>
      <c r="BL65" s="2"/>
    </row>
    <row r="66" spans="1:13" ht="15" customHeight="1">
      <c r="A66" s="36"/>
      <c r="C66" s="22" t="s">
        <v>149</v>
      </c>
      <c r="D66" s="22" t="s">
        <v>158</v>
      </c>
      <c r="F66" s="24">
        <v>342.62800000000004</v>
      </c>
      <c r="M66" s="32"/>
    </row>
    <row r="67" spans="1:64" ht="15" customHeight="1">
      <c r="A67" s="21" t="s">
        <v>159</v>
      </c>
      <c r="B67" s="5" t="s">
        <v>176</v>
      </c>
      <c r="C67" s="64" t="s">
        <v>162</v>
      </c>
      <c r="D67" s="64"/>
      <c r="E67" s="5" t="s">
        <v>104</v>
      </c>
      <c r="F67" s="2">
        <v>13.178</v>
      </c>
      <c r="G67" s="2">
        <v>0</v>
      </c>
      <c r="H67" s="2">
        <f>F67*AO67</f>
        <v>0</v>
      </c>
      <c r="I67" s="2">
        <f>F67*AP67</f>
        <v>0</v>
      </c>
      <c r="J67" s="2">
        <f>F67*G67</f>
        <v>0</v>
      </c>
      <c r="K67" s="2">
        <v>0</v>
      </c>
      <c r="L67" s="2">
        <f>F67*K67</f>
        <v>0</v>
      </c>
      <c r="M67" s="50" t="s">
        <v>194</v>
      </c>
      <c r="Z67" s="2">
        <f>IF(AQ67="5",BJ67,0)</f>
        <v>0</v>
      </c>
      <c r="AB67" s="2">
        <f>IF(AQ67="1",BH67,0)</f>
        <v>0</v>
      </c>
      <c r="AC67" s="2">
        <f>IF(AQ67="1",BI67,0)</f>
        <v>0</v>
      </c>
      <c r="AD67" s="2">
        <f>IF(AQ67="7",BH67,0)</f>
        <v>0</v>
      </c>
      <c r="AE67" s="2">
        <f>IF(AQ67="7",BI67,0)</f>
        <v>0</v>
      </c>
      <c r="AF67" s="2">
        <f>IF(AQ67="2",BH67,0)</f>
        <v>0</v>
      </c>
      <c r="AG67" s="2">
        <f>IF(AQ67="2",BI67,0)</f>
        <v>0</v>
      </c>
      <c r="AH67" s="2">
        <f>IF(AQ67="0",BJ67,0)</f>
        <v>0</v>
      </c>
      <c r="AI67" s="41" t="s">
        <v>158</v>
      </c>
      <c r="AJ67" s="2">
        <f>IF(AN67=0,J67,0)</f>
        <v>0</v>
      </c>
      <c r="AK67" s="2">
        <f>IF(AN67=15,J67,0)</f>
        <v>0</v>
      </c>
      <c r="AL67" s="2">
        <f>IF(AN67=21,J67,0)</f>
        <v>0</v>
      </c>
      <c r="AN67" s="2">
        <v>21</v>
      </c>
      <c r="AO67" s="2">
        <f>G67*0</f>
        <v>0</v>
      </c>
      <c r="AP67" s="2">
        <f>G67*(1-0)</f>
        <v>0</v>
      </c>
      <c r="AQ67" s="34" t="s">
        <v>117</v>
      </c>
      <c r="AV67" s="2">
        <f>AW67+AX67</f>
        <v>0</v>
      </c>
      <c r="AW67" s="2">
        <f>F67*AO67</f>
        <v>0</v>
      </c>
      <c r="AX67" s="2">
        <f>F67*AP67</f>
        <v>0</v>
      </c>
      <c r="AY67" s="34" t="s">
        <v>95</v>
      </c>
      <c r="AZ67" s="34" t="s">
        <v>80</v>
      </c>
      <c r="BA67" s="41" t="s">
        <v>173</v>
      </c>
      <c r="BC67" s="2">
        <f>AW67+AX67</f>
        <v>0</v>
      </c>
      <c r="BD67" s="2">
        <f>G67/(100-BE67)*100</f>
        <v>0</v>
      </c>
      <c r="BE67" s="2">
        <v>0</v>
      </c>
      <c r="BF67" s="2">
        <f>L67</f>
        <v>0</v>
      </c>
      <c r="BH67" s="2">
        <f>F67*AO67</f>
        <v>0</v>
      </c>
      <c r="BI67" s="2">
        <f>F67*AP67</f>
        <v>0</v>
      </c>
      <c r="BJ67" s="2">
        <f>F67*G67</f>
        <v>0</v>
      </c>
      <c r="BK67" s="2"/>
      <c r="BL67" s="2"/>
    </row>
    <row r="68" spans="1:13" ht="15" customHeight="1">
      <c r="A68" s="36"/>
      <c r="C68" s="22" t="s">
        <v>0</v>
      </c>
      <c r="D68" s="22" t="s">
        <v>158</v>
      </c>
      <c r="F68" s="24">
        <v>13.178</v>
      </c>
      <c r="M68" s="32"/>
    </row>
    <row r="69" spans="1:64" ht="15" customHeight="1">
      <c r="A69" s="21" t="s">
        <v>182</v>
      </c>
      <c r="B69" s="5" t="s">
        <v>131</v>
      </c>
      <c r="C69" s="64" t="s">
        <v>208</v>
      </c>
      <c r="D69" s="64"/>
      <c r="E69" s="5" t="s">
        <v>104</v>
      </c>
      <c r="F69" s="2">
        <v>13.178</v>
      </c>
      <c r="G69" s="2">
        <v>0</v>
      </c>
      <c r="H69" s="2">
        <f>F69*AO69</f>
        <v>0</v>
      </c>
      <c r="I69" s="2">
        <f>F69*AP69</f>
        <v>0</v>
      </c>
      <c r="J69" s="2">
        <f>F69*G69</f>
        <v>0</v>
      </c>
      <c r="K69" s="2">
        <v>0</v>
      </c>
      <c r="L69" s="2">
        <f>F69*K69</f>
        <v>0</v>
      </c>
      <c r="M69" s="50" t="s">
        <v>194</v>
      </c>
      <c r="Z69" s="2">
        <f>IF(AQ69="5",BJ69,0)</f>
        <v>0</v>
      </c>
      <c r="AB69" s="2">
        <f>IF(AQ69="1",BH69,0)</f>
        <v>0</v>
      </c>
      <c r="AC69" s="2">
        <f>IF(AQ69="1",BI69,0)</f>
        <v>0</v>
      </c>
      <c r="AD69" s="2">
        <f>IF(AQ69="7",BH69,0)</f>
        <v>0</v>
      </c>
      <c r="AE69" s="2">
        <f>IF(AQ69="7",BI69,0)</f>
        <v>0</v>
      </c>
      <c r="AF69" s="2">
        <f>IF(AQ69="2",BH69,0)</f>
        <v>0</v>
      </c>
      <c r="AG69" s="2">
        <f>IF(AQ69="2",BI69,0)</f>
        <v>0</v>
      </c>
      <c r="AH69" s="2">
        <f>IF(AQ69="0",BJ69,0)</f>
        <v>0</v>
      </c>
      <c r="AI69" s="41" t="s">
        <v>158</v>
      </c>
      <c r="AJ69" s="2">
        <f>IF(AN69=0,J69,0)</f>
        <v>0</v>
      </c>
      <c r="AK69" s="2">
        <f>IF(AN69=15,J69,0)</f>
        <v>0</v>
      </c>
      <c r="AL69" s="2">
        <f>IF(AN69=21,J69,0)</f>
        <v>0</v>
      </c>
      <c r="AN69" s="2">
        <v>21</v>
      </c>
      <c r="AO69" s="2">
        <f>G69*0</f>
        <v>0</v>
      </c>
      <c r="AP69" s="2">
        <f>G69*(1-0)</f>
        <v>0</v>
      </c>
      <c r="AQ69" s="34" t="s">
        <v>117</v>
      </c>
      <c r="AV69" s="2">
        <f>AW69+AX69</f>
        <v>0</v>
      </c>
      <c r="AW69" s="2">
        <f>F69*AO69</f>
        <v>0</v>
      </c>
      <c r="AX69" s="2">
        <f>F69*AP69</f>
        <v>0</v>
      </c>
      <c r="AY69" s="34" t="s">
        <v>95</v>
      </c>
      <c r="AZ69" s="34" t="s">
        <v>80</v>
      </c>
      <c r="BA69" s="41" t="s">
        <v>173</v>
      </c>
      <c r="BC69" s="2">
        <f>AW69+AX69</f>
        <v>0</v>
      </c>
      <c r="BD69" s="2">
        <f>G69/(100-BE69)*100</f>
        <v>0</v>
      </c>
      <c r="BE69" s="2">
        <v>0</v>
      </c>
      <c r="BF69" s="2">
        <f>L69</f>
        <v>0</v>
      </c>
      <c r="BH69" s="2">
        <f>F69*AO69</f>
        <v>0</v>
      </c>
      <c r="BI69" s="2">
        <f>F69*AP69</f>
        <v>0</v>
      </c>
      <c r="BJ69" s="2">
        <f>F69*G69</f>
        <v>0</v>
      </c>
      <c r="BK69" s="2"/>
      <c r="BL69" s="2"/>
    </row>
    <row r="70" spans="1:13" ht="15" customHeight="1">
      <c r="A70" s="36"/>
      <c r="C70" s="22" t="s">
        <v>0</v>
      </c>
      <c r="D70" s="22" t="s">
        <v>158</v>
      </c>
      <c r="F70" s="24">
        <v>13.178</v>
      </c>
      <c r="M70" s="32"/>
    </row>
    <row r="71" spans="1:13" ht="27" customHeight="1">
      <c r="A71" s="36"/>
      <c r="B71" s="56" t="s">
        <v>82</v>
      </c>
      <c r="C71" s="81" t="s">
        <v>187</v>
      </c>
      <c r="D71" s="82"/>
      <c r="E71" s="82"/>
      <c r="F71" s="82"/>
      <c r="G71" s="82"/>
      <c r="H71" s="82"/>
      <c r="I71" s="82"/>
      <c r="J71" s="82"/>
      <c r="K71" s="82"/>
      <c r="L71" s="82"/>
      <c r="M71" s="83"/>
    </row>
    <row r="72" spans="1:47" ht="15" customHeight="1">
      <c r="A72" s="42" t="s">
        <v>158</v>
      </c>
      <c r="B72" s="13" t="s">
        <v>158</v>
      </c>
      <c r="C72" s="80" t="s">
        <v>16</v>
      </c>
      <c r="D72" s="80"/>
      <c r="E72" s="1" t="s">
        <v>215</v>
      </c>
      <c r="F72" s="1" t="s">
        <v>215</v>
      </c>
      <c r="G72" s="1" t="s">
        <v>215</v>
      </c>
      <c r="H72" s="28">
        <f>SUM(H73:H79)</f>
        <v>0</v>
      </c>
      <c r="I72" s="28">
        <f>SUM(I73:I79)</f>
        <v>0</v>
      </c>
      <c r="J72" s="28">
        <f>SUM(J73:J79)</f>
        <v>0</v>
      </c>
      <c r="K72" s="41" t="s">
        <v>158</v>
      </c>
      <c r="L72" s="28">
        <f>SUM(L73:L79)</f>
        <v>2.457</v>
      </c>
      <c r="M72" s="6" t="s">
        <v>158</v>
      </c>
      <c r="AI72" s="41" t="s">
        <v>158</v>
      </c>
      <c r="AS72" s="28">
        <f>SUM(AJ73:AJ79)</f>
        <v>0</v>
      </c>
      <c r="AT72" s="28">
        <f>SUM(AK73:AK79)</f>
        <v>0</v>
      </c>
      <c r="AU72" s="28">
        <f>SUM(AL73:AL79)</f>
        <v>0</v>
      </c>
    </row>
    <row r="73" spans="1:64" ht="15" customHeight="1">
      <c r="A73" s="21" t="s">
        <v>139</v>
      </c>
      <c r="B73" s="5" t="s">
        <v>128</v>
      </c>
      <c r="C73" s="64" t="s">
        <v>243</v>
      </c>
      <c r="D73" s="64"/>
      <c r="E73" s="5" t="s">
        <v>55</v>
      </c>
      <c r="F73" s="2">
        <v>31</v>
      </c>
      <c r="G73" s="2">
        <v>0</v>
      </c>
      <c r="H73" s="2">
        <f>F73*AO73</f>
        <v>0</v>
      </c>
      <c r="I73" s="2">
        <f>F73*AP73</f>
        <v>0</v>
      </c>
      <c r="J73" s="2">
        <f>F73*G73</f>
        <v>0</v>
      </c>
      <c r="K73" s="2">
        <v>0.0405</v>
      </c>
      <c r="L73" s="2">
        <f>F73*K73</f>
        <v>1.2555</v>
      </c>
      <c r="M73" s="50" t="s">
        <v>194</v>
      </c>
      <c r="Z73" s="2">
        <f>IF(AQ73="5",BJ73,0)</f>
        <v>0</v>
      </c>
      <c r="AB73" s="2">
        <f>IF(AQ73="1",BH73,0)</f>
        <v>0</v>
      </c>
      <c r="AC73" s="2">
        <f>IF(AQ73="1",BI73,0)</f>
        <v>0</v>
      </c>
      <c r="AD73" s="2">
        <f>IF(AQ73="7",BH73,0)</f>
        <v>0</v>
      </c>
      <c r="AE73" s="2">
        <f>IF(AQ73="7",BI73,0)</f>
        <v>0</v>
      </c>
      <c r="AF73" s="2">
        <f>IF(AQ73="2",BH73,0)</f>
        <v>0</v>
      </c>
      <c r="AG73" s="2">
        <f>IF(AQ73="2",BI73,0)</f>
        <v>0</v>
      </c>
      <c r="AH73" s="2">
        <f>IF(AQ73="0",BJ73,0)</f>
        <v>0</v>
      </c>
      <c r="AI73" s="41" t="s">
        <v>158</v>
      </c>
      <c r="AJ73" s="2">
        <f>IF(AN73=0,J73,0)</f>
        <v>0</v>
      </c>
      <c r="AK73" s="2">
        <f>IF(AN73=15,J73,0)</f>
        <v>0</v>
      </c>
      <c r="AL73" s="2">
        <f>IF(AN73=21,J73,0)</f>
        <v>0</v>
      </c>
      <c r="AN73" s="2">
        <v>21</v>
      </c>
      <c r="AO73" s="2">
        <f>G73*1</f>
        <v>0</v>
      </c>
      <c r="AP73" s="2">
        <f>G73*(1-1)</f>
        <v>0</v>
      </c>
      <c r="AQ73" s="34" t="s">
        <v>115</v>
      </c>
      <c r="AV73" s="2">
        <f>AW73+AX73</f>
        <v>0</v>
      </c>
      <c r="AW73" s="2">
        <f>F73*AO73</f>
        <v>0</v>
      </c>
      <c r="AX73" s="2">
        <f>F73*AP73</f>
        <v>0</v>
      </c>
      <c r="AY73" s="34" t="s">
        <v>48</v>
      </c>
      <c r="AZ73" s="34" t="s">
        <v>213</v>
      </c>
      <c r="BA73" s="41" t="s">
        <v>173</v>
      </c>
      <c r="BC73" s="2">
        <f>AW73+AX73</f>
        <v>0</v>
      </c>
      <c r="BD73" s="2">
        <f>G73/(100-BE73)*100</f>
        <v>0</v>
      </c>
      <c r="BE73" s="2">
        <v>0</v>
      </c>
      <c r="BF73" s="2">
        <f>L73</f>
        <v>1.2555</v>
      </c>
      <c r="BH73" s="2">
        <f>F73*AO73</f>
        <v>0</v>
      </c>
      <c r="BI73" s="2">
        <f>F73*AP73</f>
        <v>0</v>
      </c>
      <c r="BJ73" s="2">
        <f>F73*G73</f>
        <v>0</v>
      </c>
      <c r="BK73" s="2"/>
      <c r="BL73" s="2"/>
    </row>
    <row r="74" spans="1:13" ht="15" customHeight="1">
      <c r="A74" s="36"/>
      <c r="C74" s="22" t="s">
        <v>130</v>
      </c>
      <c r="D74" s="22" t="s">
        <v>158</v>
      </c>
      <c r="F74" s="24">
        <v>31.000000000000004</v>
      </c>
      <c r="M74" s="32"/>
    </row>
    <row r="75" spans="1:13" ht="13.5" customHeight="1">
      <c r="A75" s="36"/>
      <c r="B75" s="56" t="s">
        <v>82</v>
      </c>
      <c r="C75" s="81" t="s">
        <v>188</v>
      </c>
      <c r="D75" s="82"/>
      <c r="E75" s="82"/>
      <c r="F75" s="82"/>
      <c r="G75" s="82"/>
      <c r="H75" s="82"/>
      <c r="I75" s="82"/>
      <c r="J75" s="82"/>
      <c r="K75" s="82"/>
      <c r="L75" s="82"/>
      <c r="M75" s="83"/>
    </row>
    <row r="76" spans="1:64" ht="15" customHeight="1">
      <c r="A76" s="21" t="s">
        <v>10</v>
      </c>
      <c r="B76" s="5" t="s">
        <v>128</v>
      </c>
      <c r="C76" s="64" t="s">
        <v>248</v>
      </c>
      <c r="D76" s="64"/>
      <c r="E76" s="5" t="s">
        <v>55</v>
      </c>
      <c r="F76" s="2">
        <v>3</v>
      </c>
      <c r="G76" s="2">
        <v>0</v>
      </c>
      <c r="H76" s="2">
        <f>F76*AO76</f>
        <v>0</v>
      </c>
      <c r="I76" s="2">
        <f>F76*AP76</f>
        <v>0</v>
      </c>
      <c r="J76" s="2">
        <f>F76*G76</f>
        <v>0</v>
      </c>
      <c r="K76" s="2">
        <v>0.0405</v>
      </c>
      <c r="L76" s="2">
        <f>F76*K76</f>
        <v>0.1215</v>
      </c>
      <c r="M76" s="50" t="s">
        <v>194</v>
      </c>
      <c r="Z76" s="2">
        <f>IF(AQ76="5",BJ76,0)</f>
        <v>0</v>
      </c>
      <c r="AB76" s="2">
        <f>IF(AQ76="1",BH76,0)</f>
        <v>0</v>
      </c>
      <c r="AC76" s="2">
        <f>IF(AQ76="1",BI76,0)</f>
        <v>0</v>
      </c>
      <c r="AD76" s="2">
        <f>IF(AQ76="7",BH76,0)</f>
        <v>0</v>
      </c>
      <c r="AE76" s="2">
        <f>IF(AQ76="7",BI76,0)</f>
        <v>0</v>
      </c>
      <c r="AF76" s="2">
        <f>IF(AQ76="2",BH76,0)</f>
        <v>0</v>
      </c>
      <c r="AG76" s="2">
        <f>IF(AQ76="2",BI76,0)</f>
        <v>0</v>
      </c>
      <c r="AH76" s="2">
        <f>IF(AQ76="0",BJ76,0)</f>
        <v>0</v>
      </c>
      <c r="AI76" s="41" t="s">
        <v>158</v>
      </c>
      <c r="AJ76" s="2">
        <f>IF(AN76=0,J76,0)</f>
        <v>0</v>
      </c>
      <c r="AK76" s="2">
        <f>IF(AN76=15,J76,0)</f>
        <v>0</v>
      </c>
      <c r="AL76" s="2">
        <f>IF(AN76=21,J76,0)</f>
        <v>0</v>
      </c>
      <c r="AN76" s="2">
        <v>21</v>
      </c>
      <c r="AO76" s="2">
        <f>G76*1</f>
        <v>0</v>
      </c>
      <c r="AP76" s="2">
        <f>G76*(1-1)</f>
        <v>0</v>
      </c>
      <c r="AQ76" s="34" t="s">
        <v>115</v>
      </c>
      <c r="AV76" s="2">
        <f>AW76+AX76</f>
        <v>0</v>
      </c>
      <c r="AW76" s="2">
        <f>F76*AO76</f>
        <v>0</v>
      </c>
      <c r="AX76" s="2">
        <f>F76*AP76</f>
        <v>0</v>
      </c>
      <c r="AY76" s="34" t="s">
        <v>48</v>
      </c>
      <c r="AZ76" s="34" t="s">
        <v>213</v>
      </c>
      <c r="BA76" s="41" t="s">
        <v>173</v>
      </c>
      <c r="BC76" s="2">
        <f>AW76+AX76</f>
        <v>0</v>
      </c>
      <c r="BD76" s="2">
        <f>G76/(100-BE76)*100</f>
        <v>0</v>
      </c>
      <c r="BE76" s="2">
        <v>0</v>
      </c>
      <c r="BF76" s="2">
        <f>L76</f>
        <v>0.1215</v>
      </c>
      <c r="BH76" s="2">
        <f>F76*AO76</f>
        <v>0</v>
      </c>
      <c r="BI76" s="2">
        <f>F76*AP76</f>
        <v>0</v>
      </c>
      <c r="BJ76" s="2">
        <f>F76*G76</f>
        <v>0</v>
      </c>
      <c r="BK76" s="2"/>
      <c r="BL76" s="2"/>
    </row>
    <row r="77" spans="1:13" ht="15" customHeight="1">
      <c r="A77" s="36"/>
      <c r="C77" s="22" t="s">
        <v>201</v>
      </c>
      <c r="D77" s="22" t="s">
        <v>158</v>
      </c>
      <c r="F77" s="24">
        <v>3.0000000000000004</v>
      </c>
      <c r="M77" s="32"/>
    </row>
    <row r="78" spans="1:13" ht="13.5" customHeight="1">
      <c r="A78" s="36"/>
      <c r="B78" s="56" t="s">
        <v>82</v>
      </c>
      <c r="C78" s="81" t="s">
        <v>250</v>
      </c>
      <c r="D78" s="82"/>
      <c r="E78" s="82"/>
      <c r="F78" s="82"/>
      <c r="G78" s="82"/>
      <c r="H78" s="82"/>
      <c r="I78" s="82"/>
      <c r="J78" s="82"/>
      <c r="K78" s="82"/>
      <c r="L78" s="82"/>
      <c r="M78" s="83"/>
    </row>
    <row r="79" spans="1:64" ht="15" customHeight="1">
      <c r="A79" s="21" t="s">
        <v>160</v>
      </c>
      <c r="B79" s="5" t="s">
        <v>93</v>
      </c>
      <c r="C79" s="64" t="s">
        <v>91</v>
      </c>
      <c r="D79" s="64"/>
      <c r="E79" s="5" t="s">
        <v>55</v>
      </c>
      <c r="F79" s="2">
        <v>24</v>
      </c>
      <c r="G79" s="2">
        <v>0</v>
      </c>
      <c r="H79" s="2">
        <f>F79*AO79</f>
        <v>0</v>
      </c>
      <c r="I79" s="2">
        <f>F79*AP79</f>
        <v>0</v>
      </c>
      <c r="J79" s="2">
        <f>F79*G79</f>
        <v>0</v>
      </c>
      <c r="K79" s="2">
        <v>0.045</v>
      </c>
      <c r="L79" s="2">
        <f>F79*K79</f>
        <v>1.08</v>
      </c>
      <c r="M79" s="50" t="s">
        <v>194</v>
      </c>
      <c r="Z79" s="2">
        <f>IF(AQ79="5",BJ79,0)</f>
        <v>0</v>
      </c>
      <c r="AB79" s="2">
        <f>IF(AQ79="1",BH79,0)</f>
        <v>0</v>
      </c>
      <c r="AC79" s="2">
        <f>IF(AQ79="1",BI79,0)</f>
        <v>0</v>
      </c>
      <c r="AD79" s="2">
        <f>IF(AQ79="7",BH79,0)</f>
        <v>0</v>
      </c>
      <c r="AE79" s="2">
        <f>IF(AQ79="7",BI79,0)</f>
        <v>0</v>
      </c>
      <c r="AF79" s="2">
        <f>IF(AQ79="2",BH79,0)</f>
        <v>0</v>
      </c>
      <c r="AG79" s="2">
        <f>IF(AQ79="2",BI79,0)</f>
        <v>0</v>
      </c>
      <c r="AH79" s="2">
        <f>IF(AQ79="0",BJ79,0)</f>
        <v>0</v>
      </c>
      <c r="AI79" s="41" t="s">
        <v>158</v>
      </c>
      <c r="AJ79" s="2">
        <f>IF(AN79=0,J79,0)</f>
        <v>0</v>
      </c>
      <c r="AK79" s="2">
        <f>IF(AN79=15,J79,0)</f>
        <v>0</v>
      </c>
      <c r="AL79" s="2">
        <f>IF(AN79=21,J79,0)</f>
        <v>0</v>
      </c>
      <c r="AN79" s="2">
        <v>21</v>
      </c>
      <c r="AO79" s="2">
        <f>G79*1</f>
        <v>0</v>
      </c>
      <c r="AP79" s="2">
        <f>G79*(1-1)</f>
        <v>0</v>
      </c>
      <c r="AQ79" s="34" t="s">
        <v>115</v>
      </c>
      <c r="AV79" s="2">
        <f>AW79+AX79</f>
        <v>0</v>
      </c>
      <c r="AW79" s="2">
        <f>F79*AO79</f>
        <v>0</v>
      </c>
      <c r="AX79" s="2">
        <f>F79*AP79</f>
        <v>0</v>
      </c>
      <c r="AY79" s="34" t="s">
        <v>48</v>
      </c>
      <c r="AZ79" s="34" t="s">
        <v>213</v>
      </c>
      <c r="BA79" s="41" t="s">
        <v>173</v>
      </c>
      <c r="BC79" s="2">
        <f>AW79+AX79</f>
        <v>0</v>
      </c>
      <c r="BD79" s="2">
        <f>G79/(100-BE79)*100</f>
        <v>0</v>
      </c>
      <c r="BE79" s="2">
        <v>0</v>
      </c>
      <c r="BF79" s="2">
        <f>L79</f>
        <v>1.08</v>
      </c>
      <c r="BH79" s="2">
        <f>F79*AO79</f>
        <v>0</v>
      </c>
      <c r="BI79" s="2">
        <f>F79*AP79</f>
        <v>0</v>
      </c>
      <c r="BJ79" s="2">
        <f>F79*G79</f>
        <v>0</v>
      </c>
      <c r="BK79" s="2"/>
      <c r="BL79" s="2"/>
    </row>
    <row r="80" spans="1:13" ht="15" customHeight="1">
      <c r="A80" s="36"/>
      <c r="C80" s="22" t="s">
        <v>24</v>
      </c>
      <c r="D80" s="22" t="s">
        <v>158</v>
      </c>
      <c r="F80" s="24">
        <v>24.000000000000004</v>
      </c>
      <c r="M80" s="32"/>
    </row>
    <row r="81" spans="1:13" ht="13.5" customHeight="1">
      <c r="A81" s="53"/>
      <c r="B81" s="3" t="s">
        <v>82</v>
      </c>
      <c r="C81" s="84" t="s">
        <v>200</v>
      </c>
      <c r="D81" s="85"/>
      <c r="E81" s="85"/>
      <c r="F81" s="85"/>
      <c r="G81" s="85"/>
      <c r="H81" s="85"/>
      <c r="I81" s="85"/>
      <c r="J81" s="85"/>
      <c r="K81" s="85"/>
      <c r="L81" s="85"/>
      <c r="M81" s="86"/>
    </row>
    <row r="82" spans="8:10" ht="15" customHeight="1">
      <c r="H82" s="70" t="s">
        <v>180</v>
      </c>
      <c r="I82" s="70"/>
      <c r="J82" s="18">
        <f>J12+J19+J24+J27+J31+J34+J37+J44+J55+J58+J72</f>
        <v>0</v>
      </c>
    </row>
    <row r="83" ht="15" customHeight="1">
      <c r="A83" s="47" t="s">
        <v>20</v>
      </c>
    </row>
    <row r="84" spans="1:13" ht="12.75" customHeight="1">
      <c r="A84" s="67" t="s">
        <v>158</v>
      </c>
      <c r="B84" s="64"/>
      <c r="C84" s="64"/>
      <c r="D84" s="64"/>
      <c r="E84" s="64"/>
      <c r="F84" s="64"/>
      <c r="G84" s="64"/>
      <c r="H84" s="64"/>
      <c r="I84" s="64"/>
      <c r="J84" s="64"/>
      <c r="K84" s="64"/>
      <c r="L84" s="64"/>
      <c r="M84" s="64"/>
    </row>
  </sheetData>
  <sheetProtection/>
  <mergeCells count="75">
    <mergeCell ref="A84:M84"/>
    <mergeCell ref="C75:M75"/>
    <mergeCell ref="C76:D76"/>
    <mergeCell ref="C78:M78"/>
    <mergeCell ref="C79:D79"/>
    <mergeCell ref="C81:M81"/>
    <mergeCell ref="H82:I82"/>
    <mergeCell ref="C65:D65"/>
    <mergeCell ref="C67:D67"/>
    <mergeCell ref="C69:D69"/>
    <mergeCell ref="C71:M71"/>
    <mergeCell ref="C72:D72"/>
    <mergeCell ref="C73:D73"/>
    <mergeCell ref="C56:D56"/>
    <mergeCell ref="C58:D58"/>
    <mergeCell ref="C59:D59"/>
    <mergeCell ref="C61:M61"/>
    <mergeCell ref="C62:D62"/>
    <mergeCell ref="C64:M64"/>
    <mergeCell ref="C44:D44"/>
    <mergeCell ref="C45:D45"/>
    <mergeCell ref="C49:M49"/>
    <mergeCell ref="C50:D50"/>
    <mergeCell ref="C54:M54"/>
    <mergeCell ref="C55:D55"/>
    <mergeCell ref="C35:D35"/>
    <mergeCell ref="C37:D37"/>
    <mergeCell ref="C38:D38"/>
    <mergeCell ref="C40:M40"/>
    <mergeCell ref="C41:D41"/>
    <mergeCell ref="C43:M43"/>
    <mergeCell ref="C27:D27"/>
    <mergeCell ref="C28:D28"/>
    <mergeCell ref="C30:M30"/>
    <mergeCell ref="C31:D31"/>
    <mergeCell ref="C32:D32"/>
    <mergeCell ref="C34:D34"/>
    <mergeCell ref="C18:M18"/>
    <mergeCell ref="C19:D19"/>
    <mergeCell ref="C20:D20"/>
    <mergeCell ref="C22:D22"/>
    <mergeCell ref="C24:D24"/>
    <mergeCell ref="C25:D25"/>
    <mergeCell ref="C11:D11"/>
    <mergeCell ref="H10:J10"/>
    <mergeCell ref="K10:L10"/>
    <mergeCell ref="C12:D12"/>
    <mergeCell ref="C13:D13"/>
    <mergeCell ref="C15:D15"/>
    <mergeCell ref="G8:G9"/>
    <mergeCell ref="I2:M3"/>
    <mergeCell ref="I4:M5"/>
    <mergeCell ref="I6:M7"/>
    <mergeCell ref="I8:M9"/>
    <mergeCell ref="C10:D10"/>
    <mergeCell ref="H4:H5"/>
    <mergeCell ref="H6:H7"/>
    <mergeCell ref="H8:H9"/>
    <mergeCell ref="C2:D3"/>
    <mergeCell ref="C4:D5"/>
    <mergeCell ref="C6:D7"/>
    <mergeCell ref="C8:D9"/>
    <mergeCell ref="G2:G3"/>
    <mergeCell ref="G4:G5"/>
    <mergeCell ref="G6:G7"/>
    <mergeCell ref="A1:M1"/>
    <mergeCell ref="A2:B3"/>
    <mergeCell ref="A4:B5"/>
    <mergeCell ref="A6:B7"/>
    <mergeCell ref="A8:B9"/>
    <mergeCell ref="E2:F3"/>
    <mergeCell ref="E4:F5"/>
    <mergeCell ref="E6:F7"/>
    <mergeCell ref="E8:F9"/>
    <mergeCell ref="H2:H3"/>
  </mergeCells>
  <printOptions/>
  <pageMargins left="0.394" right="0.394" top="0.591" bottom="0.591" header="0" footer="0"/>
  <pageSetup firstPageNumber="0" useFirstPageNumber="1" fitToHeight="0" fitToWidth="1"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BL78"/>
  <sheetViews>
    <sheetView showOutlineSymbols="0" zoomScalePageLayoutView="0" workbookViewId="0" topLeftCell="A1">
      <pane ySplit="11" topLeftCell="A12" activePane="bottomLeft" state="frozen"/>
      <selection pane="topLeft" activeCell="A78" sqref="A78:N78"/>
      <selection pane="bottomLeft" activeCell="A1" sqref="A1"/>
    </sheetView>
  </sheetViews>
  <sheetFormatPr defaultColWidth="14.16015625" defaultRowHeight="15" customHeight="1"/>
  <cols>
    <col min="1" max="1" width="4.66015625" style="0" customWidth="1"/>
    <col min="2" max="2" width="20.83203125" style="0" customWidth="1"/>
    <col min="3" max="3" width="13.66015625" style="0" customWidth="1"/>
    <col min="4" max="4" width="42.16015625" style="0" customWidth="1"/>
    <col min="5" max="5" width="14.16015625" style="0" customWidth="1"/>
    <col min="6" max="6" width="5" style="0" customWidth="1"/>
    <col min="7" max="7" width="15" style="0" customWidth="1"/>
    <col min="8" max="8" width="14" style="0" customWidth="1"/>
    <col min="9" max="11" width="18.33203125" style="0" customWidth="1"/>
    <col min="12" max="14" width="13.66015625" style="0" customWidth="1"/>
    <col min="15" max="24" width="14.16015625" style="0" customWidth="1"/>
    <col min="25" max="64" width="14.16015625" style="0" hidden="1" customWidth="1"/>
  </cols>
  <sheetData>
    <row r="1" spans="1:14" ht="54.75" customHeight="1">
      <c r="A1" s="60" t="s">
        <v>8</v>
      </c>
      <c r="B1" s="60"/>
      <c r="C1" s="60"/>
      <c r="D1" s="60"/>
      <c r="E1" s="60"/>
      <c r="F1" s="60"/>
      <c r="G1" s="60"/>
      <c r="H1" s="60"/>
      <c r="I1" s="60"/>
      <c r="J1" s="60"/>
      <c r="K1" s="60"/>
      <c r="L1" s="60"/>
      <c r="M1" s="60"/>
      <c r="N1" s="60"/>
    </row>
    <row r="2" spans="1:14" ht="15" customHeight="1">
      <c r="A2" s="61" t="s">
        <v>15</v>
      </c>
      <c r="B2" s="62"/>
      <c r="C2" s="68" t="str">
        <f>'Stavební rozpočet'!C2</f>
        <v>ZÁKLADNÍ ŠKOLA</v>
      </c>
      <c r="D2" s="69"/>
      <c r="E2" s="62" t="s">
        <v>2</v>
      </c>
      <c r="F2" s="62"/>
      <c r="G2" s="66" t="str">
        <f>'Stavební rozpočet'!G2</f>
        <v> </v>
      </c>
      <c r="H2" s="66" t="s">
        <v>195</v>
      </c>
      <c r="I2" s="66" t="str">
        <f>'Stavební rozpočet'!I2</f>
        <v>MĚSTO ŠLUKNOV</v>
      </c>
      <c r="J2" s="62"/>
      <c r="K2" s="62"/>
      <c r="L2" s="62"/>
      <c r="M2" s="62"/>
      <c r="N2" s="71"/>
    </row>
    <row r="3" spans="1:14" ht="15" customHeight="1">
      <c r="A3" s="63"/>
      <c r="B3" s="64"/>
      <c r="C3" s="70"/>
      <c r="D3" s="70"/>
      <c r="E3" s="64"/>
      <c r="F3" s="64"/>
      <c r="G3" s="64"/>
      <c r="H3" s="64"/>
      <c r="I3" s="64"/>
      <c r="J3" s="64"/>
      <c r="K3" s="64"/>
      <c r="L3" s="64"/>
      <c r="M3" s="64"/>
      <c r="N3" s="72"/>
    </row>
    <row r="4" spans="1:14" ht="15" customHeight="1">
      <c r="A4" s="65" t="s">
        <v>121</v>
      </c>
      <c r="B4" s="64"/>
      <c r="C4" s="67" t="str">
        <f>'Stavební rozpočet'!C4</f>
        <v>VÝMĚNA OKEN DRUHÁ ETAPA</v>
      </c>
      <c r="D4" s="64"/>
      <c r="E4" s="64" t="s">
        <v>205</v>
      </c>
      <c r="F4" s="64"/>
      <c r="G4" s="67" t="str">
        <f>'Stavební rozpočet'!G4</f>
        <v> </v>
      </c>
      <c r="H4" s="67" t="s">
        <v>156</v>
      </c>
      <c r="I4" s="67" t="str">
        <f>'Stavební rozpočet'!I4</f>
        <v>VLASTNÍ</v>
      </c>
      <c r="J4" s="64"/>
      <c r="K4" s="64"/>
      <c r="L4" s="64"/>
      <c r="M4" s="64"/>
      <c r="N4" s="72"/>
    </row>
    <row r="5" spans="1:14" ht="15" customHeight="1">
      <c r="A5" s="63"/>
      <c r="B5" s="64"/>
      <c r="C5" s="64"/>
      <c r="D5" s="64"/>
      <c r="E5" s="64"/>
      <c r="F5" s="64"/>
      <c r="G5" s="64"/>
      <c r="H5" s="64"/>
      <c r="I5" s="64"/>
      <c r="J5" s="64"/>
      <c r="K5" s="64"/>
      <c r="L5" s="64"/>
      <c r="M5" s="64"/>
      <c r="N5" s="72"/>
    </row>
    <row r="6" spans="1:14" ht="15" customHeight="1">
      <c r="A6" s="65" t="s">
        <v>21</v>
      </c>
      <c r="B6" s="64"/>
      <c r="C6" s="67" t="str">
        <f>'Stavební rozpočet'!C6</f>
        <v>ŠLUKNOV VOHRADSKÉHO</v>
      </c>
      <c r="D6" s="64"/>
      <c r="E6" s="64" t="s">
        <v>70</v>
      </c>
      <c r="F6" s="64"/>
      <c r="G6" s="67" t="str">
        <f>'Stavební rozpočet'!G6</f>
        <v> </v>
      </c>
      <c r="H6" s="67" t="s">
        <v>202</v>
      </c>
      <c r="I6" s="67" t="str">
        <f>'Stavební rozpočet'!I6</f>
        <v>BUDE VYBRÁN</v>
      </c>
      <c r="J6" s="64"/>
      <c r="K6" s="64"/>
      <c r="L6" s="64"/>
      <c r="M6" s="64"/>
      <c r="N6" s="72"/>
    </row>
    <row r="7" spans="1:14" ht="15" customHeight="1">
      <c r="A7" s="63"/>
      <c r="B7" s="64"/>
      <c r="C7" s="64"/>
      <c r="D7" s="64"/>
      <c r="E7" s="64"/>
      <c r="F7" s="64"/>
      <c r="G7" s="64"/>
      <c r="H7" s="64"/>
      <c r="I7" s="64"/>
      <c r="J7" s="64"/>
      <c r="K7" s="64"/>
      <c r="L7" s="64"/>
      <c r="M7" s="64"/>
      <c r="N7" s="72"/>
    </row>
    <row r="8" spans="1:14" ht="15" customHeight="1">
      <c r="A8" s="65" t="s">
        <v>109</v>
      </c>
      <c r="B8" s="64"/>
      <c r="C8" s="67" t="str">
        <f>'Stavební rozpočet'!C8</f>
        <v> </v>
      </c>
      <c r="D8" s="64"/>
      <c r="E8" s="64" t="s">
        <v>124</v>
      </c>
      <c r="F8" s="64"/>
      <c r="G8" s="67" t="str">
        <f>'Stavební rozpočet'!G8</f>
        <v>19.12.2022</v>
      </c>
      <c r="H8" s="67" t="s">
        <v>146</v>
      </c>
      <c r="I8" s="67" t="str">
        <f>'Stavební rozpočet'!I8</f>
        <v>IIČVDF</v>
      </c>
      <c r="J8" s="64"/>
      <c r="K8" s="64"/>
      <c r="L8" s="64"/>
      <c r="M8" s="64"/>
      <c r="N8" s="72"/>
    </row>
    <row r="9" spans="1:14" ht="15" customHeight="1">
      <c r="A9" s="63"/>
      <c r="B9" s="64"/>
      <c r="C9" s="64"/>
      <c r="D9" s="64"/>
      <c r="E9" s="64"/>
      <c r="F9" s="64"/>
      <c r="G9" s="64"/>
      <c r="H9" s="64"/>
      <c r="I9" s="64"/>
      <c r="J9" s="64"/>
      <c r="K9" s="64"/>
      <c r="L9" s="64"/>
      <c r="M9" s="64"/>
      <c r="N9" s="72"/>
    </row>
    <row r="10" spans="1:64" ht="15" customHeight="1">
      <c r="A10" s="33" t="s">
        <v>17</v>
      </c>
      <c r="B10" s="29" t="s">
        <v>73</v>
      </c>
      <c r="C10" s="73" t="s">
        <v>245</v>
      </c>
      <c r="D10" s="73"/>
      <c r="E10" s="74"/>
      <c r="F10" s="29" t="s">
        <v>78</v>
      </c>
      <c r="G10" s="43" t="s">
        <v>132</v>
      </c>
      <c r="H10" s="35" t="s">
        <v>69</v>
      </c>
      <c r="I10" s="77" t="s">
        <v>141</v>
      </c>
      <c r="J10" s="78"/>
      <c r="K10" s="79"/>
      <c r="L10" s="78" t="s">
        <v>37</v>
      </c>
      <c r="M10" s="78"/>
      <c r="N10" s="37" t="s">
        <v>62</v>
      </c>
      <c r="BK10" s="41" t="s">
        <v>89</v>
      </c>
      <c r="BL10" s="49" t="s">
        <v>114</v>
      </c>
    </row>
    <row r="11" spans="1:62" ht="15" customHeight="1">
      <c r="A11" s="8" t="s">
        <v>215</v>
      </c>
      <c r="B11" s="48" t="s">
        <v>215</v>
      </c>
      <c r="C11" s="75" t="s">
        <v>231</v>
      </c>
      <c r="D11" s="75"/>
      <c r="E11" s="76"/>
      <c r="F11" s="48" t="s">
        <v>215</v>
      </c>
      <c r="G11" s="48" t="s">
        <v>215</v>
      </c>
      <c r="H11" s="12" t="s">
        <v>220</v>
      </c>
      <c r="I11" s="20" t="s">
        <v>12</v>
      </c>
      <c r="J11" s="44" t="s">
        <v>44</v>
      </c>
      <c r="K11" s="17" t="s">
        <v>26</v>
      </c>
      <c r="L11" s="44" t="s">
        <v>75</v>
      </c>
      <c r="M11" s="12" t="s">
        <v>26</v>
      </c>
      <c r="N11" s="46" t="s">
        <v>57</v>
      </c>
      <c r="Z11" s="41" t="s">
        <v>175</v>
      </c>
      <c r="AA11" s="41" t="s">
        <v>135</v>
      </c>
      <c r="AB11" s="41" t="s">
        <v>241</v>
      </c>
      <c r="AC11" s="41" t="s">
        <v>64</v>
      </c>
      <c r="AD11" s="41" t="s">
        <v>199</v>
      </c>
      <c r="AE11" s="41" t="s">
        <v>83</v>
      </c>
      <c r="AF11" s="41" t="s">
        <v>207</v>
      </c>
      <c r="AG11" s="41" t="s">
        <v>100</v>
      </c>
      <c r="AH11" s="41" t="s">
        <v>61</v>
      </c>
      <c r="BH11" s="41" t="s">
        <v>177</v>
      </c>
      <c r="BI11" s="41" t="s">
        <v>236</v>
      </c>
      <c r="BJ11" s="41" t="s">
        <v>246</v>
      </c>
    </row>
    <row r="12" spans="1:47" ht="15" customHeight="1">
      <c r="A12" s="55" t="s">
        <v>158</v>
      </c>
      <c r="B12" s="54" t="s">
        <v>38</v>
      </c>
      <c r="C12" s="80" t="s">
        <v>137</v>
      </c>
      <c r="D12" s="80"/>
      <c r="E12" s="80"/>
      <c r="F12" s="31" t="s">
        <v>215</v>
      </c>
      <c r="G12" s="31" t="s">
        <v>215</v>
      </c>
      <c r="H12" s="31" t="s">
        <v>215</v>
      </c>
      <c r="I12" s="59">
        <f>SUM(I13:I25)</f>
        <v>0</v>
      </c>
      <c r="J12" s="59">
        <f>SUM(J13:J25)</f>
        <v>0</v>
      </c>
      <c r="K12" s="59">
        <f>SUM(K13:K25)</f>
        <v>0</v>
      </c>
      <c r="L12" s="27" t="s">
        <v>158</v>
      </c>
      <c r="M12" s="59">
        <f>SUM(M13:M25)</f>
        <v>11.384083500000001</v>
      </c>
      <c r="N12" s="7" t="s">
        <v>158</v>
      </c>
      <c r="AI12" s="41" t="s">
        <v>158</v>
      </c>
      <c r="AS12" s="28">
        <f>SUM(AJ13:AJ25)</f>
        <v>0</v>
      </c>
      <c r="AT12" s="28">
        <f>SUM(AK13:AK25)</f>
        <v>0</v>
      </c>
      <c r="AU12" s="28">
        <f>SUM(AL13:AL25)</f>
        <v>0</v>
      </c>
    </row>
    <row r="13" spans="1:64" ht="15" customHeight="1">
      <c r="A13" s="21" t="s">
        <v>229</v>
      </c>
      <c r="B13" s="5" t="s">
        <v>152</v>
      </c>
      <c r="C13" s="64" t="s">
        <v>197</v>
      </c>
      <c r="D13" s="64"/>
      <c r="E13" s="64"/>
      <c r="F13" s="5" t="s">
        <v>226</v>
      </c>
      <c r="G13" s="2">
        <f>'Stavební rozpočet'!F13</f>
        <v>209.175</v>
      </c>
      <c r="H13" s="2">
        <f>'Stavební rozpočet'!G13</f>
        <v>0</v>
      </c>
      <c r="I13" s="2">
        <f>'Stavební rozpočet'!H13</f>
        <v>0</v>
      </c>
      <c r="J13" s="2">
        <f>'Stavební rozpočet'!I13</f>
        <v>0</v>
      </c>
      <c r="K13" s="2">
        <f>'Stavební rozpočet'!J13</f>
        <v>0</v>
      </c>
      <c r="L13" s="2">
        <f>'Stavební rozpočet'!K13</f>
        <v>4E-05</v>
      </c>
      <c r="M13" s="2">
        <f>G13*L13</f>
        <v>0.008367000000000001</v>
      </c>
      <c r="N13" s="50" t="s">
        <v>194</v>
      </c>
      <c r="Z13" s="2">
        <f>IF(AQ13="5",BJ13,0)</f>
        <v>0</v>
      </c>
      <c r="AB13" s="2">
        <f>IF(AQ13="1",BH13,0)</f>
        <v>0</v>
      </c>
      <c r="AC13" s="2">
        <f>IF(AQ13="1",BI13,0)</f>
        <v>0</v>
      </c>
      <c r="AD13" s="2">
        <f>IF(AQ13="7",BH13,0)</f>
        <v>0</v>
      </c>
      <c r="AE13" s="2">
        <f>IF(AQ13="7",BI13,0)</f>
        <v>0</v>
      </c>
      <c r="AF13" s="2">
        <f>IF(AQ13="2",BH13,0)</f>
        <v>0</v>
      </c>
      <c r="AG13" s="2">
        <f>IF(AQ13="2",BI13,0)</f>
        <v>0</v>
      </c>
      <c r="AH13" s="2">
        <f>IF(AQ13="0",BJ13,0)</f>
        <v>0</v>
      </c>
      <c r="AI13" s="41" t="s">
        <v>158</v>
      </c>
      <c r="AJ13" s="2">
        <f>IF(AN13=0,K13,0)</f>
        <v>0</v>
      </c>
      <c r="AK13" s="2">
        <f>IF(AN13=15,K13,0)</f>
        <v>0</v>
      </c>
      <c r="AL13" s="2">
        <f>IF(AN13=21,K13,0)</f>
        <v>0</v>
      </c>
      <c r="AN13" s="2">
        <v>21</v>
      </c>
      <c r="AO13" s="2">
        <f>H13*0.321455223880597</f>
        <v>0</v>
      </c>
      <c r="AP13" s="2">
        <f>H13*(1-0.321455223880597)</f>
        <v>0</v>
      </c>
      <c r="AQ13" s="34" t="s">
        <v>229</v>
      </c>
      <c r="AV13" s="2">
        <f>AW13+AX13</f>
        <v>0</v>
      </c>
      <c r="AW13" s="2">
        <f>G13*AO13</f>
        <v>0</v>
      </c>
      <c r="AX13" s="2">
        <f>G13*AP13</f>
        <v>0</v>
      </c>
      <c r="AY13" s="34" t="s">
        <v>138</v>
      </c>
      <c r="AZ13" s="34" t="s">
        <v>33</v>
      </c>
      <c r="BA13" s="41" t="s">
        <v>173</v>
      </c>
      <c r="BC13" s="2">
        <f>AW13+AX13</f>
        <v>0</v>
      </c>
      <c r="BD13" s="2">
        <f>H13/(100-BE13)*100</f>
        <v>0</v>
      </c>
      <c r="BE13" s="2">
        <v>0</v>
      </c>
      <c r="BF13" s="2">
        <f>M13</f>
        <v>0.008367000000000001</v>
      </c>
      <c r="BH13" s="2">
        <f>G13*AO13</f>
        <v>0</v>
      </c>
      <c r="BI13" s="2">
        <f>G13*AP13</f>
        <v>0</v>
      </c>
      <c r="BJ13" s="2">
        <f>G13*H13</f>
        <v>0</v>
      </c>
      <c r="BK13" s="2"/>
      <c r="BL13" s="2">
        <v>6</v>
      </c>
    </row>
    <row r="14" spans="1:14" ht="15" customHeight="1">
      <c r="A14" s="36"/>
      <c r="C14" s="22" t="s">
        <v>79</v>
      </c>
      <c r="E14" s="22" t="s">
        <v>158</v>
      </c>
      <c r="G14" s="24">
        <v>209.175</v>
      </c>
      <c r="N14" s="32"/>
    </row>
    <row r="15" spans="1:64" ht="15" customHeight="1">
      <c r="A15" s="21" t="s">
        <v>155</v>
      </c>
      <c r="B15" s="5" t="s">
        <v>34</v>
      </c>
      <c r="C15" s="64" t="s">
        <v>120</v>
      </c>
      <c r="D15" s="64"/>
      <c r="E15" s="64"/>
      <c r="F15" s="5" t="s">
        <v>226</v>
      </c>
      <c r="G15" s="2">
        <f>'Stavební rozpočet'!F15</f>
        <v>174.15</v>
      </c>
      <c r="H15" s="2">
        <f>'Stavební rozpočet'!G15</f>
        <v>0</v>
      </c>
      <c r="I15" s="2">
        <f>'Stavební rozpočet'!H15</f>
        <v>0</v>
      </c>
      <c r="J15" s="2">
        <f>'Stavební rozpočet'!I15</f>
        <v>0</v>
      </c>
      <c r="K15" s="2">
        <f>'Stavební rozpočet'!J15</f>
        <v>0</v>
      </c>
      <c r="L15" s="2">
        <f>'Stavební rozpočet'!K15</f>
        <v>0.03491</v>
      </c>
      <c r="M15" s="2">
        <f>G15*L15</f>
        <v>6.0795765</v>
      </c>
      <c r="N15" s="50" t="s">
        <v>194</v>
      </c>
      <c r="Z15" s="2">
        <f>IF(AQ15="5",BJ15,0)</f>
        <v>0</v>
      </c>
      <c r="AB15" s="2">
        <f>IF(AQ15="1",BH15,0)</f>
        <v>0</v>
      </c>
      <c r="AC15" s="2">
        <f>IF(AQ15="1",BI15,0)</f>
        <v>0</v>
      </c>
      <c r="AD15" s="2">
        <f>IF(AQ15="7",BH15,0)</f>
        <v>0</v>
      </c>
      <c r="AE15" s="2">
        <f>IF(AQ15="7",BI15,0)</f>
        <v>0</v>
      </c>
      <c r="AF15" s="2">
        <f>IF(AQ15="2",BH15,0)</f>
        <v>0</v>
      </c>
      <c r="AG15" s="2">
        <f>IF(AQ15="2",BI15,0)</f>
        <v>0</v>
      </c>
      <c r="AH15" s="2">
        <f>IF(AQ15="0",BJ15,0)</f>
        <v>0</v>
      </c>
      <c r="AI15" s="41" t="s">
        <v>158</v>
      </c>
      <c r="AJ15" s="2">
        <f>IF(AN15=0,K15,0)</f>
        <v>0</v>
      </c>
      <c r="AK15" s="2">
        <f>IF(AN15=15,K15,0)</f>
        <v>0</v>
      </c>
      <c r="AL15" s="2">
        <f>IF(AN15=21,K15,0)</f>
        <v>0</v>
      </c>
      <c r="AN15" s="2">
        <v>21</v>
      </c>
      <c r="AO15" s="2">
        <f>H15*0.311128905421232</f>
        <v>0</v>
      </c>
      <c r="AP15" s="2">
        <f>H15*(1-0.311128905421232)</f>
        <v>0</v>
      </c>
      <c r="AQ15" s="34" t="s">
        <v>229</v>
      </c>
      <c r="AV15" s="2">
        <f>AW15+AX15</f>
        <v>0</v>
      </c>
      <c r="AW15" s="2">
        <f>G15*AO15</f>
        <v>0</v>
      </c>
      <c r="AX15" s="2">
        <f>G15*AP15</f>
        <v>0</v>
      </c>
      <c r="AY15" s="34" t="s">
        <v>138</v>
      </c>
      <c r="AZ15" s="34" t="s">
        <v>33</v>
      </c>
      <c r="BA15" s="41" t="s">
        <v>173</v>
      </c>
      <c r="BC15" s="2">
        <f>AW15+AX15</f>
        <v>0</v>
      </c>
      <c r="BD15" s="2">
        <f>H15/(100-BE15)*100</f>
        <v>0</v>
      </c>
      <c r="BE15" s="2">
        <v>0</v>
      </c>
      <c r="BF15" s="2">
        <f>M15</f>
        <v>6.0795765</v>
      </c>
      <c r="BH15" s="2">
        <f>G15*AO15</f>
        <v>0</v>
      </c>
      <c r="BI15" s="2">
        <f>G15*AP15</f>
        <v>0</v>
      </c>
      <c r="BJ15" s="2">
        <f>G15*H15</f>
        <v>0</v>
      </c>
      <c r="BK15" s="2"/>
      <c r="BL15" s="2">
        <v>6</v>
      </c>
    </row>
    <row r="16" spans="1:14" ht="15" customHeight="1">
      <c r="A16" s="36"/>
      <c r="C16" s="22" t="s">
        <v>222</v>
      </c>
      <c r="E16" s="22" t="s">
        <v>163</v>
      </c>
      <c r="G16" s="24">
        <v>77.4</v>
      </c>
      <c r="N16" s="32"/>
    </row>
    <row r="17" spans="1:14" ht="15" customHeight="1">
      <c r="A17" s="36"/>
      <c r="C17" s="22" t="s">
        <v>54</v>
      </c>
      <c r="E17" s="22" t="s">
        <v>43</v>
      </c>
      <c r="G17" s="24">
        <v>96.75000000000001</v>
      </c>
      <c r="N17" s="32"/>
    </row>
    <row r="18" spans="1:14" ht="13.5" customHeight="1">
      <c r="A18" s="36"/>
      <c r="B18" s="56" t="s">
        <v>82</v>
      </c>
      <c r="C18" s="81" t="s">
        <v>59</v>
      </c>
      <c r="D18" s="82"/>
      <c r="E18" s="82"/>
      <c r="F18" s="82"/>
      <c r="G18" s="82"/>
      <c r="H18" s="82"/>
      <c r="I18" s="82"/>
      <c r="J18" s="82"/>
      <c r="K18" s="82"/>
      <c r="L18" s="82"/>
      <c r="M18" s="82"/>
      <c r="N18" s="83"/>
    </row>
    <row r="19" spans="1:64" ht="15" customHeight="1">
      <c r="A19" s="21" t="s">
        <v>201</v>
      </c>
      <c r="B19" s="5" t="s">
        <v>242</v>
      </c>
      <c r="C19" s="64" t="s">
        <v>153</v>
      </c>
      <c r="D19" s="64"/>
      <c r="E19" s="64"/>
      <c r="F19" s="5" t="s">
        <v>189</v>
      </c>
      <c r="G19" s="2">
        <f>'Stavební rozpočet'!F20</f>
        <v>390</v>
      </c>
      <c r="H19" s="2">
        <f>'Stavební rozpočet'!G20</f>
        <v>0</v>
      </c>
      <c r="I19" s="2">
        <f>'Stavební rozpočet'!H20</f>
        <v>0</v>
      </c>
      <c r="J19" s="2">
        <f>'Stavební rozpočet'!I20</f>
        <v>0</v>
      </c>
      <c r="K19" s="2">
        <f>'Stavební rozpočet'!J20</f>
        <v>0</v>
      </c>
      <c r="L19" s="2">
        <f>'Stavební rozpočet'!K20</f>
        <v>0.00015</v>
      </c>
      <c r="M19" s="2">
        <f>G19*L19</f>
        <v>0.058499999999999996</v>
      </c>
      <c r="N19" s="50" t="s">
        <v>194</v>
      </c>
      <c r="Z19" s="2">
        <f>IF(AQ19="5",BJ19,0)</f>
        <v>0</v>
      </c>
      <c r="AB19" s="2">
        <f>IF(AQ19="1",BH19,0)</f>
        <v>0</v>
      </c>
      <c r="AC19" s="2">
        <f>IF(AQ19="1",BI19,0)</f>
        <v>0</v>
      </c>
      <c r="AD19" s="2">
        <f>IF(AQ19="7",BH19,0)</f>
        <v>0</v>
      </c>
      <c r="AE19" s="2">
        <f>IF(AQ19="7",BI19,0)</f>
        <v>0</v>
      </c>
      <c r="AF19" s="2">
        <f>IF(AQ19="2",BH19,0)</f>
        <v>0</v>
      </c>
      <c r="AG19" s="2">
        <f>IF(AQ19="2",BI19,0)</f>
        <v>0</v>
      </c>
      <c r="AH19" s="2">
        <f>IF(AQ19="0",BJ19,0)</f>
        <v>0</v>
      </c>
      <c r="AI19" s="41" t="s">
        <v>158</v>
      </c>
      <c r="AJ19" s="2">
        <f>IF(AN19=0,K19,0)</f>
        <v>0</v>
      </c>
      <c r="AK19" s="2">
        <f>IF(AN19=15,K19,0)</f>
        <v>0</v>
      </c>
      <c r="AL19" s="2">
        <f>IF(AN19=21,K19,0)</f>
        <v>0</v>
      </c>
      <c r="AN19" s="2">
        <v>21</v>
      </c>
      <c r="AO19" s="2">
        <f>H19*0.505287444722169</f>
        <v>0</v>
      </c>
      <c r="AP19" s="2">
        <f>H19*(1-0.505287444722169)</f>
        <v>0</v>
      </c>
      <c r="AQ19" s="34" t="s">
        <v>229</v>
      </c>
      <c r="AV19" s="2">
        <f>AW19+AX19</f>
        <v>0</v>
      </c>
      <c r="AW19" s="2">
        <f>G19*AO19</f>
        <v>0</v>
      </c>
      <c r="AX19" s="2">
        <f>G19*AP19</f>
        <v>0</v>
      </c>
      <c r="AY19" s="34" t="s">
        <v>102</v>
      </c>
      <c r="AZ19" s="34" t="s">
        <v>33</v>
      </c>
      <c r="BA19" s="41" t="s">
        <v>173</v>
      </c>
      <c r="BC19" s="2">
        <f>AW19+AX19</f>
        <v>0</v>
      </c>
      <c r="BD19" s="2">
        <f>H19/(100-BE19)*100</f>
        <v>0</v>
      </c>
      <c r="BE19" s="2">
        <v>0</v>
      </c>
      <c r="BF19" s="2">
        <f>M19</f>
        <v>0.058499999999999996</v>
      </c>
      <c r="BH19" s="2">
        <f>G19*AO19</f>
        <v>0</v>
      </c>
      <c r="BI19" s="2">
        <f>G19*AP19</f>
        <v>0</v>
      </c>
      <c r="BJ19" s="2">
        <f>G19*H19</f>
        <v>0</v>
      </c>
      <c r="BK19" s="2"/>
      <c r="BL19" s="2">
        <v>6</v>
      </c>
    </row>
    <row r="20" spans="1:14" ht="15" customHeight="1">
      <c r="A20" s="36"/>
      <c r="C20" s="22" t="s">
        <v>196</v>
      </c>
      <c r="E20" s="22" t="s">
        <v>158</v>
      </c>
      <c r="G20" s="24">
        <v>390.00000000000006</v>
      </c>
      <c r="N20" s="32"/>
    </row>
    <row r="21" spans="1:64" ht="15" customHeight="1">
      <c r="A21" s="21" t="s">
        <v>30</v>
      </c>
      <c r="B21" s="5" t="s">
        <v>242</v>
      </c>
      <c r="C21" s="64" t="s">
        <v>107</v>
      </c>
      <c r="D21" s="64"/>
      <c r="E21" s="64"/>
      <c r="F21" s="5" t="s">
        <v>189</v>
      </c>
      <c r="G21" s="2">
        <f>'Stavební rozpočet'!F22</f>
        <v>390</v>
      </c>
      <c r="H21" s="2">
        <f>'Stavební rozpočet'!G22</f>
        <v>0</v>
      </c>
      <c r="I21" s="2">
        <f>'Stavební rozpočet'!H22</f>
        <v>0</v>
      </c>
      <c r="J21" s="2">
        <f>'Stavební rozpočet'!I22</f>
        <v>0</v>
      </c>
      <c r="K21" s="2">
        <f>'Stavební rozpočet'!J22</f>
        <v>0</v>
      </c>
      <c r="L21" s="2">
        <f>'Stavební rozpočet'!K22</f>
        <v>0.00015</v>
      </c>
      <c r="M21" s="2">
        <f>G21*L21</f>
        <v>0.058499999999999996</v>
      </c>
      <c r="N21" s="50" t="s">
        <v>194</v>
      </c>
      <c r="Z21" s="2">
        <f>IF(AQ21="5",BJ21,0)</f>
        <v>0</v>
      </c>
      <c r="AB21" s="2">
        <f>IF(AQ21="1",BH21,0)</f>
        <v>0</v>
      </c>
      <c r="AC21" s="2">
        <f>IF(AQ21="1",BI21,0)</f>
        <v>0</v>
      </c>
      <c r="AD21" s="2">
        <f>IF(AQ21="7",BH21,0)</f>
        <v>0</v>
      </c>
      <c r="AE21" s="2">
        <f>IF(AQ21="7",BI21,0)</f>
        <v>0</v>
      </c>
      <c r="AF21" s="2">
        <f>IF(AQ21="2",BH21,0)</f>
        <v>0</v>
      </c>
      <c r="AG21" s="2">
        <f>IF(AQ21="2",BI21,0)</f>
        <v>0</v>
      </c>
      <c r="AH21" s="2">
        <f>IF(AQ21="0",BJ21,0)</f>
        <v>0</v>
      </c>
      <c r="AI21" s="41" t="s">
        <v>158</v>
      </c>
      <c r="AJ21" s="2">
        <f>IF(AN21=0,K21,0)</f>
        <v>0</v>
      </c>
      <c r="AK21" s="2">
        <f>IF(AN21=15,K21,0)</f>
        <v>0</v>
      </c>
      <c r="AL21" s="2">
        <f>IF(AN21=21,K21,0)</f>
        <v>0</v>
      </c>
      <c r="AN21" s="2">
        <v>21</v>
      </c>
      <c r="AO21" s="2">
        <f>H21*0.505287444722169</f>
        <v>0</v>
      </c>
      <c r="AP21" s="2">
        <f>H21*(1-0.505287444722169)</f>
        <v>0</v>
      </c>
      <c r="AQ21" s="34" t="s">
        <v>229</v>
      </c>
      <c r="AV21" s="2">
        <f>AW21+AX21</f>
        <v>0</v>
      </c>
      <c r="AW21" s="2">
        <f>G21*AO21</f>
        <v>0</v>
      </c>
      <c r="AX21" s="2">
        <f>G21*AP21</f>
        <v>0</v>
      </c>
      <c r="AY21" s="34" t="s">
        <v>102</v>
      </c>
      <c r="AZ21" s="34" t="s">
        <v>33</v>
      </c>
      <c r="BA21" s="41" t="s">
        <v>173</v>
      </c>
      <c r="BC21" s="2">
        <f>AW21+AX21</f>
        <v>0</v>
      </c>
      <c r="BD21" s="2">
        <f>H21/(100-BE21)*100</f>
        <v>0</v>
      </c>
      <c r="BE21" s="2">
        <v>0</v>
      </c>
      <c r="BF21" s="2">
        <f>M21</f>
        <v>0.058499999999999996</v>
      </c>
      <c r="BH21" s="2">
        <f>G21*AO21</f>
        <v>0</v>
      </c>
      <c r="BI21" s="2">
        <f>G21*AP21</f>
        <v>0</v>
      </c>
      <c r="BJ21" s="2">
        <f>G21*H21</f>
        <v>0</v>
      </c>
      <c r="BK21" s="2"/>
      <c r="BL21" s="2">
        <v>6</v>
      </c>
    </row>
    <row r="22" spans="1:14" ht="15" customHeight="1">
      <c r="A22" s="36"/>
      <c r="C22" s="22" t="s">
        <v>196</v>
      </c>
      <c r="E22" s="22" t="s">
        <v>158</v>
      </c>
      <c r="G22" s="24">
        <v>390.00000000000006</v>
      </c>
      <c r="N22" s="32"/>
    </row>
    <row r="23" spans="1:64" ht="15" customHeight="1">
      <c r="A23" s="21" t="s">
        <v>117</v>
      </c>
      <c r="B23" s="5" t="s">
        <v>240</v>
      </c>
      <c r="C23" s="64" t="s">
        <v>125</v>
      </c>
      <c r="D23" s="64"/>
      <c r="E23" s="64"/>
      <c r="F23" s="5" t="s">
        <v>226</v>
      </c>
      <c r="G23" s="2">
        <f>'Stavební rozpočet'!F25</f>
        <v>23</v>
      </c>
      <c r="H23" s="2">
        <f>'Stavební rozpočet'!G25</f>
        <v>0</v>
      </c>
      <c r="I23" s="2">
        <f>'Stavební rozpočet'!H25</f>
        <v>0</v>
      </c>
      <c r="J23" s="2">
        <f>'Stavební rozpočet'!I25</f>
        <v>0</v>
      </c>
      <c r="K23" s="2">
        <f>'Stavební rozpočet'!J25</f>
        <v>0</v>
      </c>
      <c r="L23" s="2">
        <f>'Stavební rozpočet'!K25</f>
        <v>0.1231</v>
      </c>
      <c r="M23" s="2">
        <f>G23*L23</f>
        <v>2.8313</v>
      </c>
      <c r="N23" s="50" t="s">
        <v>194</v>
      </c>
      <c r="Z23" s="2">
        <f>IF(AQ23="5",BJ23,0)</f>
        <v>0</v>
      </c>
      <c r="AB23" s="2">
        <f>IF(AQ23="1",BH23,0)</f>
        <v>0</v>
      </c>
      <c r="AC23" s="2">
        <f>IF(AQ23="1",BI23,0)</f>
        <v>0</v>
      </c>
      <c r="AD23" s="2">
        <f>IF(AQ23="7",BH23,0)</f>
        <v>0</v>
      </c>
      <c r="AE23" s="2">
        <f>IF(AQ23="7",BI23,0)</f>
        <v>0</v>
      </c>
      <c r="AF23" s="2">
        <f>IF(AQ23="2",BH23,0)</f>
        <v>0</v>
      </c>
      <c r="AG23" s="2">
        <f>IF(AQ23="2",BI23,0)</f>
        <v>0</v>
      </c>
      <c r="AH23" s="2">
        <f>IF(AQ23="0",BJ23,0)</f>
        <v>0</v>
      </c>
      <c r="AI23" s="41" t="s">
        <v>158</v>
      </c>
      <c r="AJ23" s="2">
        <f>IF(AN23=0,K23,0)</f>
        <v>0</v>
      </c>
      <c r="AK23" s="2">
        <f>IF(AN23=15,K23,0)</f>
        <v>0</v>
      </c>
      <c r="AL23" s="2">
        <f>IF(AN23=21,K23,0)</f>
        <v>0</v>
      </c>
      <c r="AN23" s="2">
        <v>21</v>
      </c>
      <c r="AO23" s="2">
        <f>H23*0.419545454545454</f>
        <v>0</v>
      </c>
      <c r="AP23" s="2">
        <f>H23*(1-0.419545454545454)</f>
        <v>0</v>
      </c>
      <c r="AQ23" s="34" t="s">
        <v>229</v>
      </c>
      <c r="AV23" s="2">
        <f>AW23+AX23</f>
        <v>0</v>
      </c>
      <c r="AW23" s="2">
        <f>G23*AO23</f>
        <v>0</v>
      </c>
      <c r="AX23" s="2">
        <f>G23*AP23</f>
        <v>0</v>
      </c>
      <c r="AY23" s="34" t="s">
        <v>212</v>
      </c>
      <c r="AZ23" s="34" t="s">
        <v>33</v>
      </c>
      <c r="BA23" s="41" t="s">
        <v>173</v>
      </c>
      <c r="BC23" s="2">
        <f>AW23+AX23</f>
        <v>0</v>
      </c>
      <c r="BD23" s="2">
        <f>H23/(100-BE23)*100</f>
        <v>0</v>
      </c>
      <c r="BE23" s="2">
        <v>0</v>
      </c>
      <c r="BF23" s="2">
        <f>M23</f>
        <v>2.8313</v>
      </c>
      <c r="BH23" s="2">
        <f>G23*AO23</f>
        <v>0</v>
      </c>
      <c r="BI23" s="2">
        <f>G23*AP23</f>
        <v>0</v>
      </c>
      <c r="BJ23" s="2">
        <f>G23*H23</f>
        <v>0</v>
      </c>
      <c r="BK23" s="2"/>
      <c r="BL23" s="2">
        <v>6</v>
      </c>
    </row>
    <row r="24" spans="1:14" ht="15" customHeight="1">
      <c r="A24" s="36"/>
      <c r="C24" s="22" t="s">
        <v>103</v>
      </c>
      <c r="E24" s="22" t="s">
        <v>209</v>
      </c>
      <c r="G24" s="24">
        <v>23.000000000000004</v>
      </c>
      <c r="N24" s="32"/>
    </row>
    <row r="25" spans="1:64" ht="15" customHeight="1">
      <c r="A25" s="21" t="s">
        <v>38</v>
      </c>
      <c r="B25" s="5" t="s">
        <v>119</v>
      </c>
      <c r="C25" s="64" t="s">
        <v>77</v>
      </c>
      <c r="D25" s="64"/>
      <c r="E25" s="64"/>
      <c r="F25" s="5" t="s">
        <v>55</v>
      </c>
      <c r="G25" s="2">
        <f>'Stavební rozpočet'!F28</f>
        <v>58</v>
      </c>
      <c r="H25" s="2">
        <f>'Stavební rozpočet'!G28</f>
        <v>0</v>
      </c>
      <c r="I25" s="2">
        <f>'Stavební rozpočet'!H28</f>
        <v>0</v>
      </c>
      <c r="J25" s="2">
        <f>'Stavební rozpočet'!I28</f>
        <v>0</v>
      </c>
      <c r="K25" s="2">
        <f>'Stavební rozpočet'!J28</f>
        <v>0</v>
      </c>
      <c r="L25" s="2">
        <f>'Stavební rozpočet'!K28</f>
        <v>0.04048</v>
      </c>
      <c r="M25" s="2">
        <f>G25*L25</f>
        <v>2.34784</v>
      </c>
      <c r="N25" s="50" t="s">
        <v>194</v>
      </c>
      <c r="Z25" s="2">
        <f>IF(AQ25="5",BJ25,0)</f>
        <v>0</v>
      </c>
      <c r="AB25" s="2">
        <f>IF(AQ25="1",BH25,0)</f>
        <v>0</v>
      </c>
      <c r="AC25" s="2">
        <f>IF(AQ25="1",BI25,0)</f>
        <v>0</v>
      </c>
      <c r="AD25" s="2">
        <f>IF(AQ25="7",BH25,0)</f>
        <v>0</v>
      </c>
      <c r="AE25" s="2">
        <f>IF(AQ25="7",BI25,0)</f>
        <v>0</v>
      </c>
      <c r="AF25" s="2">
        <f>IF(AQ25="2",BH25,0)</f>
        <v>0</v>
      </c>
      <c r="AG25" s="2">
        <f>IF(AQ25="2",BI25,0)</f>
        <v>0</v>
      </c>
      <c r="AH25" s="2">
        <f>IF(AQ25="0",BJ25,0)</f>
        <v>0</v>
      </c>
      <c r="AI25" s="41" t="s">
        <v>158</v>
      </c>
      <c r="AJ25" s="2">
        <f>IF(AN25=0,K25,0)</f>
        <v>0</v>
      </c>
      <c r="AK25" s="2">
        <f>IF(AN25=15,K25,0)</f>
        <v>0</v>
      </c>
      <c r="AL25" s="2">
        <f>IF(AN25=21,K25,0)</f>
        <v>0</v>
      </c>
      <c r="AN25" s="2">
        <v>21</v>
      </c>
      <c r="AO25" s="2">
        <f>H25*0.244709677419355</f>
        <v>0</v>
      </c>
      <c r="AP25" s="2">
        <f>H25*(1-0.244709677419355)</f>
        <v>0</v>
      </c>
      <c r="AQ25" s="34" t="s">
        <v>229</v>
      </c>
      <c r="AV25" s="2">
        <f>AW25+AX25</f>
        <v>0</v>
      </c>
      <c r="AW25" s="2">
        <f>G25*AO25</f>
        <v>0</v>
      </c>
      <c r="AX25" s="2">
        <f>G25*AP25</f>
        <v>0</v>
      </c>
      <c r="AY25" s="34" t="s">
        <v>150</v>
      </c>
      <c r="AZ25" s="34" t="s">
        <v>33</v>
      </c>
      <c r="BA25" s="41" t="s">
        <v>173</v>
      </c>
      <c r="BC25" s="2">
        <f>AW25+AX25</f>
        <v>0</v>
      </c>
      <c r="BD25" s="2">
        <f>H25/(100-BE25)*100</f>
        <v>0</v>
      </c>
      <c r="BE25" s="2">
        <v>0</v>
      </c>
      <c r="BF25" s="2">
        <f>M25</f>
        <v>2.34784</v>
      </c>
      <c r="BH25" s="2">
        <f>G25*AO25</f>
        <v>0</v>
      </c>
      <c r="BI25" s="2">
        <f>G25*AP25</f>
        <v>0</v>
      </c>
      <c r="BJ25" s="2">
        <f>G25*H25</f>
        <v>0</v>
      </c>
      <c r="BK25" s="2"/>
      <c r="BL25" s="2">
        <v>6</v>
      </c>
    </row>
    <row r="26" spans="1:14" ht="15" customHeight="1">
      <c r="A26" s="36"/>
      <c r="C26" s="22" t="s">
        <v>127</v>
      </c>
      <c r="E26" s="22" t="s">
        <v>166</v>
      </c>
      <c r="G26" s="24">
        <v>58.00000000000001</v>
      </c>
      <c r="N26" s="32"/>
    </row>
    <row r="27" spans="1:14" ht="40.5" customHeight="1">
      <c r="A27" s="36"/>
      <c r="B27" s="56" t="s">
        <v>82</v>
      </c>
      <c r="C27" s="81" t="s">
        <v>110</v>
      </c>
      <c r="D27" s="82"/>
      <c r="E27" s="82"/>
      <c r="F27" s="82"/>
      <c r="G27" s="82"/>
      <c r="H27" s="82"/>
      <c r="I27" s="82"/>
      <c r="J27" s="82"/>
      <c r="K27" s="82"/>
      <c r="L27" s="82"/>
      <c r="M27" s="82"/>
      <c r="N27" s="83"/>
    </row>
    <row r="28" spans="1:47" ht="15" customHeight="1">
      <c r="A28" s="42" t="s">
        <v>158</v>
      </c>
      <c r="B28" s="13" t="s">
        <v>148</v>
      </c>
      <c r="C28" s="80" t="s">
        <v>53</v>
      </c>
      <c r="D28" s="80"/>
      <c r="E28" s="80"/>
      <c r="F28" s="1" t="s">
        <v>215</v>
      </c>
      <c r="G28" s="1" t="s">
        <v>215</v>
      </c>
      <c r="H28" s="1" t="s">
        <v>215</v>
      </c>
      <c r="I28" s="28">
        <f>SUM(I29:I31)</f>
        <v>0</v>
      </c>
      <c r="J28" s="28">
        <f>SUM(J29:J31)</f>
        <v>0</v>
      </c>
      <c r="K28" s="28">
        <f>SUM(K29:K31)</f>
        <v>0</v>
      </c>
      <c r="L28" s="41" t="s">
        <v>158</v>
      </c>
      <c r="M28" s="28">
        <f>SUM(M29:M31)</f>
        <v>0.35134200000000004</v>
      </c>
      <c r="N28" s="6" t="s">
        <v>158</v>
      </c>
      <c r="AI28" s="41" t="s">
        <v>158</v>
      </c>
      <c r="AS28" s="28">
        <f>SUM(AJ29:AJ31)</f>
        <v>0</v>
      </c>
      <c r="AT28" s="28">
        <f>SUM(AK29:AK31)</f>
        <v>0</v>
      </c>
      <c r="AU28" s="28">
        <f>SUM(AL29:AL31)</f>
        <v>0</v>
      </c>
    </row>
    <row r="29" spans="1:64" ht="15" customHeight="1">
      <c r="A29" s="21" t="s">
        <v>230</v>
      </c>
      <c r="B29" s="5" t="s">
        <v>198</v>
      </c>
      <c r="C29" s="64" t="s">
        <v>192</v>
      </c>
      <c r="D29" s="64"/>
      <c r="E29" s="64"/>
      <c r="F29" s="5" t="s">
        <v>189</v>
      </c>
      <c r="G29" s="2">
        <f>'Stavební rozpočet'!F32</f>
        <v>81.3</v>
      </c>
      <c r="H29" s="2">
        <f>'Stavební rozpočet'!G32</f>
        <v>0</v>
      </c>
      <c r="I29" s="2">
        <f>'Stavební rozpočet'!H32</f>
        <v>0</v>
      </c>
      <c r="J29" s="2">
        <f>'Stavební rozpočet'!I32</f>
        <v>0</v>
      </c>
      <c r="K29" s="2">
        <f>'Stavební rozpočet'!J32</f>
        <v>0</v>
      </c>
      <c r="L29" s="2">
        <f>'Stavební rozpočet'!K32</f>
        <v>0.00078</v>
      </c>
      <c r="M29" s="2">
        <f>G29*L29</f>
        <v>0.063414</v>
      </c>
      <c r="N29" s="50" t="s">
        <v>194</v>
      </c>
      <c r="Z29" s="2">
        <f>IF(AQ29="5",BJ29,0)</f>
        <v>0</v>
      </c>
      <c r="AB29" s="2">
        <f>IF(AQ29="1",BH29,0)</f>
        <v>0</v>
      </c>
      <c r="AC29" s="2">
        <f>IF(AQ29="1",BI29,0)</f>
        <v>0</v>
      </c>
      <c r="AD29" s="2">
        <f>IF(AQ29="7",BH29,0)</f>
        <v>0</v>
      </c>
      <c r="AE29" s="2">
        <f>IF(AQ29="7",BI29,0)</f>
        <v>0</v>
      </c>
      <c r="AF29" s="2">
        <f>IF(AQ29="2",BH29,0)</f>
        <v>0</v>
      </c>
      <c r="AG29" s="2">
        <f>IF(AQ29="2",BI29,0)</f>
        <v>0</v>
      </c>
      <c r="AH29" s="2">
        <f>IF(AQ29="0",BJ29,0)</f>
        <v>0</v>
      </c>
      <c r="AI29" s="41" t="s">
        <v>158</v>
      </c>
      <c r="AJ29" s="2">
        <f>IF(AN29=0,K29,0)</f>
        <v>0</v>
      </c>
      <c r="AK29" s="2">
        <f>IF(AN29=15,K29,0)</f>
        <v>0</v>
      </c>
      <c r="AL29" s="2">
        <f>IF(AN29=21,K29,0)</f>
        <v>0</v>
      </c>
      <c r="AN29" s="2">
        <v>21</v>
      </c>
      <c r="AO29" s="2">
        <f>H29*0.27193661971831</f>
        <v>0</v>
      </c>
      <c r="AP29" s="2">
        <f>H29*(1-0.27193661971831)</f>
        <v>0</v>
      </c>
      <c r="AQ29" s="34" t="s">
        <v>230</v>
      </c>
      <c r="AV29" s="2">
        <f>AW29+AX29</f>
        <v>0</v>
      </c>
      <c r="AW29" s="2">
        <f>G29*AO29</f>
        <v>0</v>
      </c>
      <c r="AX29" s="2">
        <f>G29*AP29</f>
        <v>0</v>
      </c>
      <c r="AY29" s="34" t="s">
        <v>184</v>
      </c>
      <c r="AZ29" s="34" t="s">
        <v>118</v>
      </c>
      <c r="BA29" s="41" t="s">
        <v>173</v>
      </c>
      <c r="BC29" s="2">
        <f>AW29+AX29</f>
        <v>0</v>
      </c>
      <c r="BD29" s="2">
        <f>H29/(100-BE29)*100</f>
        <v>0</v>
      </c>
      <c r="BE29" s="2">
        <v>0</v>
      </c>
      <c r="BF29" s="2">
        <f>M29</f>
        <v>0.063414</v>
      </c>
      <c r="BH29" s="2">
        <f>G29*AO29</f>
        <v>0</v>
      </c>
      <c r="BI29" s="2">
        <f>G29*AP29</f>
        <v>0</v>
      </c>
      <c r="BJ29" s="2">
        <f>G29*H29</f>
        <v>0</v>
      </c>
      <c r="BK29" s="2"/>
      <c r="BL29" s="2">
        <v>76</v>
      </c>
    </row>
    <row r="30" spans="1:14" ht="15" customHeight="1">
      <c r="A30" s="36"/>
      <c r="C30" s="22" t="s">
        <v>244</v>
      </c>
      <c r="E30" s="22" t="s">
        <v>158</v>
      </c>
      <c r="G30" s="24">
        <v>81.30000000000001</v>
      </c>
      <c r="N30" s="32"/>
    </row>
    <row r="31" spans="1:64" ht="15" customHeight="1">
      <c r="A31" s="21" t="s">
        <v>179</v>
      </c>
      <c r="B31" s="5" t="s">
        <v>185</v>
      </c>
      <c r="C31" s="64" t="s">
        <v>232</v>
      </c>
      <c r="D31" s="64"/>
      <c r="E31" s="64"/>
      <c r="F31" s="5" t="s">
        <v>189</v>
      </c>
      <c r="G31" s="2">
        <f>'Stavební rozpočet'!F35</f>
        <v>77.4</v>
      </c>
      <c r="H31" s="2">
        <f>'Stavební rozpočet'!G35</f>
        <v>0</v>
      </c>
      <c r="I31" s="2">
        <f>'Stavební rozpočet'!H35</f>
        <v>0</v>
      </c>
      <c r="J31" s="2">
        <f>'Stavební rozpočet'!I35</f>
        <v>0</v>
      </c>
      <c r="K31" s="2">
        <f>'Stavební rozpočet'!J35</f>
        <v>0</v>
      </c>
      <c r="L31" s="2">
        <f>'Stavební rozpočet'!K35</f>
        <v>0.00372</v>
      </c>
      <c r="M31" s="2">
        <f>G31*L31</f>
        <v>0.287928</v>
      </c>
      <c r="N31" s="50" t="s">
        <v>194</v>
      </c>
      <c r="Z31" s="2">
        <f>IF(AQ31="5",BJ31,0)</f>
        <v>0</v>
      </c>
      <c r="AB31" s="2">
        <f>IF(AQ31="1",BH31,0)</f>
        <v>0</v>
      </c>
      <c r="AC31" s="2">
        <f>IF(AQ31="1",BI31,0)</f>
        <v>0</v>
      </c>
      <c r="AD31" s="2">
        <f>IF(AQ31="7",BH31,0)</f>
        <v>0</v>
      </c>
      <c r="AE31" s="2">
        <f>IF(AQ31="7",BI31,0)</f>
        <v>0</v>
      </c>
      <c r="AF31" s="2">
        <f>IF(AQ31="2",BH31,0)</f>
        <v>0</v>
      </c>
      <c r="AG31" s="2">
        <f>IF(AQ31="2",BI31,0)</f>
        <v>0</v>
      </c>
      <c r="AH31" s="2">
        <f>IF(AQ31="0",BJ31,0)</f>
        <v>0</v>
      </c>
      <c r="AI31" s="41" t="s">
        <v>158</v>
      </c>
      <c r="AJ31" s="2">
        <f>IF(AN31=0,K31,0)</f>
        <v>0</v>
      </c>
      <c r="AK31" s="2">
        <f>IF(AN31=15,K31,0)</f>
        <v>0</v>
      </c>
      <c r="AL31" s="2">
        <f>IF(AN31=21,K31,0)</f>
        <v>0</v>
      </c>
      <c r="AN31" s="2">
        <v>21</v>
      </c>
      <c r="AO31" s="2">
        <f>H31*0.657450139815266</f>
        <v>0</v>
      </c>
      <c r="AP31" s="2">
        <f>H31*(1-0.657450139815266)</f>
        <v>0</v>
      </c>
      <c r="AQ31" s="34" t="s">
        <v>230</v>
      </c>
      <c r="AV31" s="2">
        <f>AW31+AX31</f>
        <v>0</v>
      </c>
      <c r="AW31" s="2">
        <f>G31*AO31</f>
        <v>0</v>
      </c>
      <c r="AX31" s="2">
        <f>G31*AP31</f>
        <v>0</v>
      </c>
      <c r="AY31" s="34" t="s">
        <v>29</v>
      </c>
      <c r="AZ31" s="34" t="s">
        <v>118</v>
      </c>
      <c r="BA31" s="41" t="s">
        <v>173</v>
      </c>
      <c r="BC31" s="2">
        <f>AW31+AX31</f>
        <v>0</v>
      </c>
      <c r="BD31" s="2">
        <f>H31/(100-BE31)*100</f>
        <v>0</v>
      </c>
      <c r="BE31" s="2">
        <v>0</v>
      </c>
      <c r="BF31" s="2">
        <f>M31</f>
        <v>0.287928</v>
      </c>
      <c r="BH31" s="2">
        <f>G31*AO31</f>
        <v>0</v>
      </c>
      <c r="BI31" s="2">
        <f>G31*AP31</f>
        <v>0</v>
      </c>
      <c r="BJ31" s="2">
        <f>G31*H31</f>
        <v>0</v>
      </c>
      <c r="BK31" s="2"/>
      <c r="BL31" s="2">
        <v>76</v>
      </c>
    </row>
    <row r="32" spans="1:14" ht="15" customHeight="1">
      <c r="A32" s="36"/>
      <c r="C32" s="22" t="s">
        <v>97</v>
      </c>
      <c r="E32" s="22" t="s">
        <v>158</v>
      </c>
      <c r="G32" s="24">
        <v>77.4</v>
      </c>
      <c r="N32" s="32"/>
    </row>
    <row r="33" spans="1:47" ht="15" customHeight="1">
      <c r="A33" s="42" t="s">
        <v>158</v>
      </c>
      <c r="B33" s="13" t="s">
        <v>50</v>
      </c>
      <c r="C33" s="80" t="s">
        <v>14</v>
      </c>
      <c r="D33" s="80"/>
      <c r="E33" s="80"/>
      <c r="F33" s="1" t="s">
        <v>215</v>
      </c>
      <c r="G33" s="1" t="s">
        <v>215</v>
      </c>
      <c r="H33" s="1" t="s">
        <v>215</v>
      </c>
      <c r="I33" s="28">
        <f>SUM(I34:I37)</f>
        <v>0</v>
      </c>
      <c r="J33" s="28">
        <f>SUM(J34:J37)</f>
        <v>0</v>
      </c>
      <c r="K33" s="28">
        <f>SUM(K34:K37)</f>
        <v>0</v>
      </c>
      <c r="L33" s="41" t="s">
        <v>158</v>
      </c>
      <c r="M33" s="28">
        <f>SUM(M34:M37)</f>
        <v>0.1856</v>
      </c>
      <c r="N33" s="6" t="s">
        <v>158</v>
      </c>
      <c r="AI33" s="41" t="s">
        <v>158</v>
      </c>
      <c r="AS33" s="28">
        <f>SUM(AJ34:AJ37)</f>
        <v>0</v>
      </c>
      <c r="AT33" s="28">
        <f>SUM(AK34:AK37)</f>
        <v>0</v>
      </c>
      <c r="AU33" s="28">
        <f>SUM(AL34:AL37)</f>
        <v>0</v>
      </c>
    </row>
    <row r="34" spans="1:64" ht="15" customHeight="1">
      <c r="A34" s="21" t="s">
        <v>85</v>
      </c>
      <c r="B34" s="5" t="s">
        <v>58</v>
      </c>
      <c r="C34" s="64" t="s">
        <v>18</v>
      </c>
      <c r="D34" s="64"/>
      <c r="E34" s="64"/>
      <c r="F34" s="5" t="s">
        <v>226</v>
      </c>
      <c r="G34" s="2">
        <f>'Stavební rozpočet'!F38</f>
        <v>232</v>
      </c>
      <c r="H34" s="2">
        <f>'Stavební rozpočet'!G38</f>
        <v>0</v>
      </c>
      <c r="I34" s="2">
        <f>'Stavební rozpočet'!H38</f>
        <v>0</v>
      </c>
      <c r="J34" s="2">
        <f>'Stavební rozpočet'!I38</f>
        <v>0</v>
      </c>
      <c r="K34" s="2">
        <f>'Stavební rozpočet'!J38</f>
        <v>0</v>
      </c>
      <c r="L34" s="2">
        <f>'Stavební rozpočet'!K38</f>
        <v>0.00052</v>
      </c>
      <c r="M34" s="2">
        <f>G34*L34</f>
        <v>0.12063999999999998</v>
      </c>
      <c r="N34" s="50" t="s">
        <v>194</v>
      </c>
      <c r="Z34" s="2">
        <f>IF(AQ34="5",BJ34,0)</f>
        <v>0</v>
      </c>
      <c r="AB34" s="2">
        <f>IF(AQ34="1",BH34,0)</f>
        <v>0</v>
      </c>
      <c r="AC34" s="2">
        <f>IF(AQ34="1",BI34,0)</f>
        <v>0</v>
      </c>
      <c r="AD34" s="2">
        <f>IF(AQ34="7",BH34,0)</f>
        <v>0</v>
      </c>
      <c r="AE34" s="2">
        <f>IF(AQ34="7",BI34,0)</f>
        <v>0</v>
      </c>
      <c r="AF34" s="2">
        <f>IF(AQ34="2",BH34,0)</f>
        <v>0</v>
      </c>
      <c r="AG34" s="2">
        <f>IF(AQ34="2",BI34,0)</f>
        <v>0</v>
      </c>
      <c r="AH34" s="2">
        <f>IF(AQ34="0",BJ34,0)</f>
        <v>0</v>
      </c>
      <c r="AI34" s="41" t="s">
        <v>158</v>
      </c>
      <c r="AJ34" s="2">
        <f>IF(AN34=0,K34,0)</f>
        <v>0</v>
      </c>
      <c r="AK34" s="2">
        <f>IF(AN34=15,K34,0)</f>
        <v>0</v>
      </c>
      <c r="AL34" s="2">
        <f>IF(AN34=21,K34,0)</f>
        <v>0</v>
      </c>
      <c r="AN34" s="2">
        <v>21</v>
      </c>
      <c r="AO34" s="2">
        <f>H34*0.704452054794521</f>
        <v>0</v>
      </c>
      <c r="AP34" s="2">
        <f>H34*(1-0.704452054794521)</f>
        <v>0</v>
      </c>
      <c r="AQ34" s="34" t="s">
        <v>230</v>
      </c>
      <c r="AV34" s="2">
        <f>AW34+AX34</f>
        <v>0</v>
      </c>
      <c r="AW34" s="2">
        <f>G34*AO34</f>
        <v>0</v>
      </c>
      <c r="AX34" s="2">
        <f>G34*AP34</f>
        <v>0</v>
      </c>
      <c r="AY34" s="34" t="s">
        <v>204</v>
      </c>
      <c r="AZ34" s="34" t="s">
        <v>101</v>
      </c>
      <c r="BA34" s="41" t="s">
        <v>173</v>
      </c>
      <c r="BC34" s="2">
        <f>AW34+AX34</f>
        <v>0</v>
      </c>
      <c r="BD34" s="2">
        <f>H34/(100-BE34)*100</f>
        <v>0</v>
      </c>
      <c r="BE34" s="2">
        <v>0</v>
      </c>
      <c r="BF34" s="2">
        <f>M34</f>
        <v>0.12063999999999998</v>
      </c>
      <c r="BH34" s="2">
        <f>G34*AO34</f>
        <v>0</v>
      </c>
      <c r="BI34" s="2">
        <f>G34*AP34</f>
        <v>0</v>
      </c>
      <c r="BJ34" s="2">
        <f>G34*H34</f>
        <v>0</v>
      </c>
      <c r="BK34" s="2"/>
      <c r="BL34" s="2">
        <v>78</v>
      </c>
    </row>
    <row r="35" spans="1:14" ht="15" customHeight="1">
      <c r="A35" s="36"/>
      <c r="C35" s="22" t="s">
        <v>67</v>
      </c>
      <c r="E35" s="22" t="s">
        <v>72</v>
      </c>
      <c r="G35" s="24">
        <v>232.00000000000003</v>
      </c>
      <c r="N35" s="32"/>
    </row>
    <row r="36" spans="1:14" ht="40.5" customHeight="1">
      <c r="A36" s="36"/>
      <c r="B36" s="56" t="s">
        <v>82</v>
      </c>
      <c r="C36" s="81" t="s">
        <v>249</v>
      </c>
      <c r="D36" s="82"/>
      <c r="E36" s="82"/>
      <c r="F36" s="82"/>
      <c r="G36" s="82"/>
      <c r="H36" s="82"/>
      <c r="I36" s="82"/>
      <c r="J36" s="82"/>
      <c r="K36" s="82"/>
      <c r="L36" s="82"/>
      <c r="M36" s="82"/>
      <c r="N36" s="83"/>
    </row>
    <row r="37" spans="1:64" ht="15" customHeight="1">
      <c r="A37" s="21" t="s">
        <v>126</v>
      </c>
      <c r="B37" s="5" t="s">
        <v>136</v>
      </c>
      <c r="C37" s="64" t="s">
        <v>221</v>
      </c>
      <c r="D37" s="64"/>
      <c r="E37" s="64"/>
      <c r="F37" s="5" t="s">
        <v>226</v>
      </c>
      <c r="G37" s="2">
        <f>'Stavební rozpočet'!F41</f>
        <v>232</v>
      </c>
      <c r="H37" s="2">
        <f>'Stavební rozpočet'!G41</f>
        <v>0</v>
      </c>
      <c r="I37" s="2">
        <f>'Stavební rozpočet'!H41</f>
        <v>0</v>
      </c>
      <c r="J37" s="2">
        <f>'Stavební rozpočet'!I41</f>
        <v>0</v>
      </c>
      <c r="K37" s="2">
        <f>'Stavební rozpočet'!J41</f>
        <v>0</v>
      </c>
      <c r="L37" s="2">
        <f>'Stavební rozpočet'!K41</f>
        <v>0.00028</v>
      </c>
      <c r="M37" s="2">
        <f>G37*L37</f>
        <v>0.06495999999999999</v>
      </c>
      <c r="N37" s="50" t="s">
        <v>194</v>
      </c>
      <c r="Z37" s="2">
        <f>IF(AQ37="5",BJ37,0)</f>
        <v>0</v>
      </c>
      <c r="AB37" s="2">
        <f>IF(AQ37="1",BH37,0)</f>
        <v>0</v>
      </c>
      <c r="AC37" s="2">
        <f>IF(AQ37="1",BI37,0)</f>
        <v>0</v>
      </c>
      <c r="AD37" s="2">
        <f>IF(AQ37="7",BH37,0)</f>
        <v>0</v>
      </c>
      <c r="AE37" s="2">
        <f>IF(AQ37="7",BI37,0)</f>
        <v>0</v>
      </c>
      <c r="AF37" s="2">
        <f>IF(AQ37="2",BH37,0)</f>
        <v>0</v>
      </c>
      <c r="AG37" s="2">
        <f>IF(AQ37="2",BI37,0)</f>
        <v>0</v>
      </c>
      <c r="AH37" s="2">
        <f>IF(AQ37="0",BJ37,0)</f>
        <v>0</v>
      </c>
      <c r="AI37" s="41" t="s">
        <v>158</v>
      </c>
      <c r="AJ37" s="2">
        <f>IF(AN37=0,K37,0)</f>
        <v>0</v>
      </c>
      <c r="AK37" s="2">
        <f>IF(AN37=15,K37,0)</f>
        <v>0</v>
      </c>
      <c r="AL37" s="2">
        <f>IF(AN37=21,K37,0)</f>
        <v>0</v>
      </c>
      <c r="AN37" s="2">
        <v>21</v>
      </c>
      <c r="AO37" s="2">
        <f>H37*0.136826923076923</f>
        <v>0</v>
      </c>
      <c r="AP37" s="2">
        <f>H37*(1-0.136826923076923)</f>
        <v>0</v>
      </c>
      <c r="AQ37" s="34" t="s">
        <v>230</v>
      </c>
      <c r="AV37" s="2">
        <f>AW37+AX37</f>
        <v>0</v>
      </c>
      <c r="AW37" s="2">
        <f>G37*AO37</f>
        <v>0</v>
      </c>
      <c r="AX37" s="2">
        <f>G37*AP37</f>
        <v>0</v>
      </c>
      <c r="AY37" s="34" t="s">
        <v>204</v>
      </c>
      <c r="AZ37" s="34" t="s">
        <v>101</v>
      </c>
      <c r="BA37" s="41" t="s">
        <v>173</v>
      </c>
      <c r="BC37" s="2">
        <f>AW37+AX37</f>
        <v>0</v>
      </c>
      <c r="BD37" s="2">
        <f>H37/(100-BE37)*100</f>
        <v>0</v>
      </c>
      <c r="BE37" s="2">
        <v>0</v>
      </c>
      <c r="BF37" s="2">
        <f>M37</f>
        <v>0.06495999999999999</v>
      </c>
      <c r="BH37" s="2">
        <f>G37*AO37</f>
        <v>0</v>
      </c>
      <c r="BI37" s="2">
        <f>G37*AP37</f>
        <v>0</v>
      </c>
      <c r="BJ37" s="2">
        <f>G37*H37</f>
        <v>0</v>
      </c>
      <c r="BK37" s="2"/>
      <c r="BL37" s="2">
        <v>78</v>
      </c>
    </row>
    <row r="38" spans="1:14" ht="15" customHeight="1">
      <c r="A38" s="36"/>
      <c r="C38" s="22" t="s">
        <v>67</v>
      </c>
      <c r="E38" s="22" t="s">
        <v>158</v>
      </c>
      <c r="G38" s="24">
        <v>232.00000000000003</v>
      </c>
      <c r="N38" s="32"/>
    </row>
    <row r="39" spans="1:14" ht="13.5" customHeight="1">
      <c r="A39" s="36"/>
      <c r="B39" s="56" t="s">
        <v>82</v>
      </c>
      <c r="C39" s="81" t="s">
        <v>190</v>
      </c>
      <c r="D39" s="82"/>
      <c r="E39" s="82"/>
      <c r="F39" s="82"/>
      <c r="G39" s="82"/>
      <c r="H39" s="82"/>
      <c r="I39" s="82"/>
      <c r="J39" s="82"/>
      <c r="K39" s="82"/>
      <c r="L39" s="82"/>
      <c r="M39" s="82"/>
      <c r="N39" s="83"/>
    </row>
    <row r="40" spans="1:47" ht="15" customHeight="1">
      <c r="A40" s="42" t="s">
        <v>158</v>
      </c>
      <c r="B40" s="13" t="s">
        <v>85</v>
      </c>
      <c r="C40" s="80" t="s">
        <v>219</v>
      </c>
      <c r="D40" s="80"/>
      <c r="E40" s="80"/>
      <c r="F40" s="1" t="s">
        <v>215</v>
      </c>
      <c r="G40" s="1" t="s">
        <v>215</v>
      </c>
      <c r="H40" s="1" t="s">
        <v>215</v>
      </c>
      <c r="I40" s="28">
        <f>SUM(I41:I63)</f>
        <v>0</v>
      </c>
      <c r="J40" s="28">
        <f>SUM(J41:J63)</f>
        <v>0</v>
      </c>
      <c r="K40" s="28">
        <f>SUM(K41:K63)</f>
        <v>0</v>
      </c>
      <c r="L40" s="41" t="s">
        <v>158</v>
      </c>
      <c r="M40" s="28">
        <f>SUM(M41:M63)</f>
        <v>13.178025000000002</v>
      </c>
      <c r="N40" s="6" t="s">
        <v>158</v>
      </c>
      <c r="AI40" s="41" t="s">
        <v>158</v>
      </c>
      <c r="AS40" s="28">
        <f>SUM(AJ41:AJ63)</f>
        <v>0</v>
      </c>
      <c r="AT40" s="28">
        <f>SUM(AK41:AK63)</f>
        <v>0</v>
      </c>
      <c r="AU40" s="28">
        <f>SUM(AL41:AL63)</f>
        <v>0</v>
      </c>
    </row>
    <row r="41" spans="1:64" ht="15" customHeight="1">
      <c r="A41" s="21" t="s">
        <v>193</v>
      </c>
      <c r="B41" s="5" t="s">
        <v>191</v>
      </c>
      <c r="C41" s="64" t="s">
        <v>105</v>
      </c>
      <c r="D41" s="64"/>
      <c r="E41" s="64"/>
      <c r="F41" s="5" t="s">
        <v>55</v>
      </c>
      <c r="G41" s="2">
        <f>'Stavební rozpočet'!F45</f>
        <v>232</v>
      </c>
      <c r="H41" s="2">
        <f>'Stavební rozpočet'!G45</f>
        <v>0</v>
      </c>
      <c r="I41" s="2">
        <f>'Stavební rozpočet'!H45</f>
        <v>0</v>
      </c>
      <c r="J41" s="2">
        <f>'Stavební rozpočet'!I45</f>
        <v>0</v>
      </c>
      <c r="K41" s="2">
        <f>'Stavební rozpočet'!J45</f>
        <v>0</v>
      </c>
      <c r="L41" s="2">
        <f>'Stavební rozpočet'!K45</f>
        <v>0</v>
      </c>
      <c r="M41" s="2">
        <f>G41*L41</f>
        <v>0</v>
      </c>
      <c r="N41" s="50" t="s">
        <v>194</v>
      </c>
      <c r="Z41" s="2">
        <f>IF(AQ41="5",BJ41,0)</f>
        <v>0</v>
      </c>
      <c r="AB41" s="2">
        <f>IF(AQ41="1",BH41,0)</f>
        <v>0</v>
      </c>
      <c r="AC41" s="2">
        <f>IF(AQ41="1",BI41,0)</f>
        <v>0</v>
      </c>
      <c r="AD41" s="2">
        <f>IF(AQ41="7",BH41,0)</f>
        <v>0</v>
      </c>
      <c r="AE41" s="2">
        <f>IF(AQ41="7",BI41,0)</f>
        <v>0</v>
      </c>
      <c r="AF41" s="2">
        <f>IF(AQ41="2",BH41,0)</f>
        <v>0</v>
      </c>
      <c r="AG41" s="2">
        <f>IF(AQ41="2",BI41,0)</f>
        <v>0</v>
      </c>
      <c r="AH41" s="2">
        <f>IF(AQ41="0",BJ41,0)</f>
        <v>0</v>
      </c>
      <c r="AI41" s="41" t="s">
        <v>158</v>
      </c>
      <c r="AJ41" s="2">
        <f>IF(AN41=0,K41,0)</f>
        <v>0</v>
      </c>
      <c r="AK41" s="2">
        <f>IF(AN41=15,K41,0)</f>
        <v>0</v>
      </c>
      <c r="AL41" s="2">
        <f>IF(AN41=21,K41,0)</f>
        <v>0</v>
      </c>
      <c r="AN41" s="2">
        <v>21</v>
      </c>
      <c r="AO41" s="2">
        <f>H41*0</f>
        <v>0</v>
      </c>
      <c r="AP41" s="2">
        <f>H41*(1-0)</f>
        <v>0</v>
      </c>
      <c r="AQ41" s="34" t="s">
        <v>229</v>
      </c>
      <c r="AV41" s="2">
        <f>AW41+AX41</f>
        <v>0</v>
      </c>
      <c r="AW41" s="2">
        <f>G41*AO41</f>
        <v>0</v>
      </c>
      <c r="AX41" s="2">
        <f>G41*AP41</f>
        <v>0</v>
      </c>
      <c r="AY41" s="34" t="s">
        <v>203</v>
      </c>
      <c r="AZ41" s="34" t="s">
        <v>80</v>
      </c>
      <c r="BA41" s="41" t="s">
        <v>173</v>
      </c>
      <c r="BC41" s="2">
        <f>AW41+AX41</f>
        <v>0</v>
      </c>
      <c r="BD41" s="2">
        <f>H41/(100-BE41)*100</f>
        <v>0</v>
      </c>
      <c r="BE41" s="2">
        <v>0</v>
      </c>
      <c r="BF41" s="2">
        <f>M41</f>
        <v>0</v>
      </c>
      <c r="BH41" s="2">
        <f>G41*AO41</f>
        <v>0</v>
      </c>
      <c r="BI41" s="2">
        <f>G41*AP41</f>
        <v>0</v>
      </c>
      <c r="BJ41" s="2">
        <f>G41*H41</f>
        <v>0</v>
      </c>
      <c r="BK41" s="2"/>
      <c r="BL41" s="2">
        <v>9</v>
      </c>
    </row>
    <row r="42" spans="1:14" ht="15" customHeight="1">
      <c r="A42" s="36"/>
      <c r="C42" s="22" t="s">
        <v>167</v>
      </c>
      <c r="E42" s="22" t="s">
        <v>158</v>
      </c>
      <c r="G42" s="24">
        <v>96.00000000000001</v>
      </c>
      <c r="N42" s="32"/>
    </row>
    <row r="43" spans="1:14" ht="15" customHeight="1">
      <c r="A43" s="36"/>
      <c r="C43" s="22" t="s">
        <v>134</v>
      </c>
      <c r="E43" s="22" t="s">
        <v>158</v>
      </c>
      <c r="G43" s="24">
        <v>124.00000000000001</v>
      </c>
      <c r="N43" s="32"/>
    </row>
    <row r="44" spans="1:14" ht="15" customHeight="1">
      <c r="A44" s="36"/>
      <c r="C44" s="22" t="s">
        <v>87</v>
      </c>
      <c r="E44" s="22" t="s">
        <v>158</v>
      </c>
      <c r="G44" s="24">
        <v>12.000000000000002</v>
      </c>
      <c r="N44" s="32"/>
    </row>
    <row r="45" spans="1:14" ht="27" customHeight="1">
      <c r="A45" s="36"/>
      <c r="B45" s="56" t="s">
        <v>82</v>
      </c>
      <c r="C45" s="81" t="s">
        <v>39</v>
      </c>
      <c r="D45" s="82"/>
      <c r="E45" s="82"/>
      <c r="F45" s="82"/>
      <c r="G45" s="82"/>
      <c r="H45" s="82"/>
      <c r="I45" s="82"/>
      <c r="J45" s="82"/>
      <c r="K45" s="82"/>
      <c r="L45" s="82"/>
      <c r="M45" s="82"/>
      <c r="N45" s="83"/>
    </row>
    <row r="46" spans="1:64" ht="15" customHeight="1">
      <c r="A46" s="21" t="s">
        <v>169</v>
      </c>
      <c r="B46" s="5" t="s">
        <v>1</v>
      </c>
      <c r="C46" s="64" t="s">
        <v>94</v>
      </c>
      <c r="D46" s="64"/>
      <c r="E46" s="64"/>
      <c r="F46" s="5" t="s">
        <v>226</v>
      </c>
      <c r="G46" s="2">
        <f>'Stavební rozpočet'!F50</f>
        <v>209.175</v>
      </c>
      <c r="H46" s="2">
        <f>'Stavební rozpočet'!G50</f>
        <v>0</v>
      </c>
      <c r="I46" s="2">
        <f>'Stavební rozpočet'!H50</f>
        <v>0</v>
      </c>
      <c r="J46" s="2">
        <f>'Stavební rozpočet'!I50</f>
        <v>0</v>
      </c>
      <c r="K46" s="2">
        <f>'Stavební rozpočet'!J50</f>
        <v>0</v>
      </c>
      <c r="L46" s="2">
        <f>'Stavební rozpočet'!K50</f>
        <v>0.063</v>
      </c>
      <c r="M46" s="2">
        <f>G46*L46</f>
        <v>13.178025000000002</v>
      </c>
      <c r="N46" s="50" t="s">
        <v>194</v>
      </c>
      <c r="Z46" s="2">
        <f>IF(AQ46="5",BJ46,0)</f>
        <v>0</v>
      </c>
      <c r="AB46" s="2">
        <f>IF(AQ46="1",BH46,0)</f>
        <v>0</v>
      </c>
      <c r="AC46" s="2">
        <f>IF(AQ46="1",BI46,0)</f>
        <v>0</v>
      </c>
      <c r="AD46" s="2">
        <f>IF(AQ46="7",BH46,0)</f>
        <v>0</v>
      </c>
      <c r="AE46" s="2">
        <f>IF(AQ46="7",BI46,0)</f>
        <v>0</v>
      </c>
      <c r="AF46" s="2">
        <f>IF(AQ46="2",BH46,0)</f>
        <v>0</v>
      </c>
      <c r="AG46" s="2">
        <f>IF(AQ46="2",BI46,0)</f>
        <v>0</v>
      </c>
      <c r="AH46" s="2">
        <f>IF(AQ46="0",BJ46,0)</f>
        <v>0</v>
      </c>
      <c r="AI46" s="41" t="s">
        <v>158</v>
      </c>
      <c r="AJ46" s="2">
        <f>IF(AN46=0,K46,0)</f>
        <v>0</v>
      </c>
      <c r="AK46" s="2">
        <f>IF(AN46=15,K46,0)</f>
        <v>0</v>
      </c>
      <c r="AL46" s="2">
        <f>IF(AN46=21,K46,0)</f>
        <v>0</v>
      </c>
      <c r="AN46" s="2">
        <v>21</v>
      </c>
      <c r="AO46" s="2">
        <f>H46*0.101313644715048</f>
        <v>0</v>
      </c>
      <c r="AP46" s="2">
        <f>H46*(1-0.101313644715048)</f>
        <v>0</v>
      </c>
      <c r="AQ46" s="34" t="s">
        <v>229</v>
      </c>
      <c r="AV46" s="2">
        <f>AW46+AX46</f>
        <v>0</v>
      </c>
      <c r="AW46" s="2">
        <f>G46*AO46</f>
        <v>0</v>
      </c>
      <c r="AX46" s="2">
        <f>G46*AP46</f>
        <v>0</v>
      </c>
      <c r="AY46" s="34" t="s">
        <v>203</v>
      </c>
      <c r="AZ46" s="34" t="s">
        <v>80</v>
      </c>
      <c r="BA46" s="41" t="s">
        <v>173</v>
      </c>
      <c r="BC46" s="2">
        <f>AW46+AX46</f>
        <v>0</v>
      </c>
      <c r="BD46" s="2">
        <f>H46/(100-BE46)*100</f>
        <v>0</v>
      </c>
      <c r="BE46" s="2">
        <v>0</v>
      </c>
      <c r="BF46" s="2">
        <f>M46</f>
        <v>13.178025000000002</v>
      </c>
      <c r="BH46" s="2">
        <f>G46*AO46</f>
        <v>0</v>
      </c>
      <c r="BI46" s="2">
        <f>G46*AP46</f>
        <v>0</v>
      </c>
      <c r="BJ46" s="2">
        <f>G46*H46</f>
        <v>0</v>
      </c>
      <c r="BK46" s="2"/>
      <c r="BL46" s="2">
        <v>9</v>
      </c>
    </row>
    <row r="47" spans="1:14" ht="15" customHeight="1">
      <c r="A47" s="36"/>
      <c r="C47" s="22" t="s">
        <v>31</v>
      </c>
      <c r="E47" s="22" t="s">
        <v>158</v>
      </c>
      <c r="G47" s="24">
        <v>95.25600000000001</v>
      </c>
      <c r="N47" s="32"/>
    </row>
    <row r="48" spans="1:14" ht="15" customHeight="1">
      <c r="A48" s="36"/>
      <c r="C48" s="22" t="s">
        <v>186</v>
      </c>
      <c r="E48" s="22" t="s">
        <v>158</v>
      </c>
      <c r="G48" s="24">
        <v>106.299</v>
      </c>
      <c r="N48" s="32"/>
    </row>
    <row r="49" spans="1:14" ht="15" customHeight="1">
      <c r="A49" s="36"/>
      <c r="C49" s="22" t="s">
        <v>11</v>
      </c>
      <c r="E49" s="22" t="s">
        <v>158</v>
      </c>
      <c r="G49" s="24">
        <v>7.620000000000001</v>
      </c>
      <c r="N49" s="32"/>
    </row>
    <row r="50" spans="1:14" ht="27" customHeight="1">
      <c r="A50" s="36"/>
      <c r="B50" s="56" t="s">
        <v>82</v>
      </c>
      <c r="C50" s="81" t="s">
        <v>46</v>
      </c>
      <c r="D50" s="82"/>
      <c r="E50" s="82"/>
      <c r="F50" s="82"/>
      <c r="G50" s="82"/>
      <c r="H50" s="82"/>
      <c r="I50" s="82"/>
      <c r="J50" s="82"/>
      <c r="K50" s="82"/>
      <c r="L50" s="82"/>
      <c r="M50" s="82"/>
      <c r="N50" s="83"/>
    </row>
    <row r="51" spans="1:64" ht="15" customHeight="1">
      <c r="A51" s="21" t="s">
        <v>66</v>
      </c>
      <c r="B51" s="5" t="s">
        <v>28</v>
      </c>
      <c r="C51" s="64" t="s">
        <v>71</v>
      </c>
      <c r="D51" s="64"/>
      <c r="E51" s="64"/>
      <c r="F51" s="5" t="s">
        <v>104</v>
      </c>
      <c r="G51" s="2">
        <f>'Stavební rozpočet'!F56</f>
        <v>8.919</v>
      </c>
      <c r="H51" s="2">
        <f>'Stavební rozpočet'!G56</f>
        <v>0</v>
      </c>
      <c r="I51" s="2">
        <f>'Stavební rozpočet'!H56</f>
        <v>0</v>
      </c>
      <c r="J51" s="2">
        <f>'Stavební rozpočet'!I56</f>
        <v>0</v>
      </c>
      <c r="K51" s="2">
        <f>'Stavební rozpočet'!J56</f>
        <v>0</v>
      </c>
      <c r="L51" s="2">
        <f>'Stavební rozpočet'!K56</f>
        <v>0</v>
      </c>
      <c r="M51" s="2">
        <f>G51*L51</f>
        <v>0</v>
      </c>
      <c r="N51" s="50" t="s">
        <v>194</v>
      </c>
      <c r="Z51" s="2">
        <f>IF(AQ51="5",BJ51,0)</f>
        <v>0</v>
      </c>
      <c r="AB51" s="2">
        <f>IF(AQ51="1",BH51,0)</f>
        <v>0</v>
      </c>
      <c r="AC51" s="2">
        <f>IF(AQ51="1",BI51,0)</f>
        <v>0</v>
      </c>
      <c r="AD51" s="2">
        <f>IF(AQ51="7",BH51,0)</f>
        <v>0</v>
      </c>
      <c r="AE51" s="2">
        <f>IF(AQ51="7",BI51,0)</f>
        <v>0</v>
      </c>
      <c r="AF51" s="2">
        <f>IF(AQ51="2",BH51,0)</f>
        <v>0</v>
      </c>
      <c r="AG51" s="2">
        <f>IF(AQ51="2",BI51,0)</f>
        <v>0</v>
      </c>
      <c r="AH51" s="2">
        <f>IF(AQ51="0",BJ51,0)</f>
        <v>0</v>
      </c>
      <c r="AI51" s="41" t="s">
        <v>158</v>
      </c>
      <c r="AJ51" s="2">
        <f>IF(AN51=0,K51,0)</f>
        <v>0</v>
      </c>
      <c r="AK51" s="2">
        <f>IF(AN51=15,K51,0)</f>
        <v>0</v>
      </c>
      <c r="AL51" s="2">
        <f>IF(AN51=21,K51,0)</f>
        <v>0</v>
      </c>
      <c r="AN51" s="2">
        <v>21</v>
      </c>
      <c r="AO51" s="2">
        <f>H51*0</f>
        <v>0</v>
      </c>
      <c r="AP51" s="2">
        <f>H51*(1-0)</f>
        <v>0</v>
      </c>
      <c r="AQ51" s="34" t="s">
        <v>117</v>
      </c>
      <c r="AV51" s="2">
        <f>AW51+AX51</f>
        <v>0</v>
      </c>
      <c r="AW51" s="2">
        <f>G51*AO51</f>
        <v>0</v>
      </c>
      <c r="AX51" s="2">
        <f>G51*AP51</f>
        <v>0</v>
      </c>
      <c r="AY51" s="34" t="s">
        <v>237</v>
      </c>
      <c r="AZ51" s="34" t="s">
        <v>80</v>
      </c>
      <c r="BA51" s="41" t="s">
        <v>173</v>
      </c>
      <c r="BC51" s="2">
        <f>AW51+AX51</f>
        <v>0</v>
      </c>
      <c r="BD51" s="2">
        <f>H51/(100-BE51)*100</f>
        <v>0</v>
      </c>
      <c r="BE51" s="2">
        <v>0</v>
      </c>
      <c r="BF51" s="2">
        <f>M51</f>
        <v>0</v>
      </c>
      <c r="BH51" s="2">
        <f>G51*AO51</f>
        <v>0</v>
      </c>
      <c r="BI51" s="2">
        <f>G51*AP51</f>
        <v>0</v>
      </c>
      <c r="BJ51" s="2">
        <f>G51*H51</f>
        <v>0</v>
      </c>
      <c r="BK51" s="2"/>
      <c r="BL51" s="2">
        <v>9</v>
      </c>
    </row>
    <row r="52" spans="1:14" ht="15" customHeight="1">
      <c r="A52" s="36"/>
      <c r="C52" s="22" t="s">
        <v>211</v>
      </c>
      <c r="E52" s="22" t="s">
        <v>158</v>
      </c>
      <c r="G52" s="24">
        <v>8.919</v>
      </c>
      <c r="N52" s="32"/>
    </row>
    <row r="53" spans="1:64" ht="15" customHeight="1">
      <c r="A53" s="21" t="s">
        <v>129</v>
      </c>
      <c r="B53" s="5" t="s">
        <v>238</v>
      </c>
      <c r="C53" s="64" t="s">
        <v>60</v>
      </c>
      <c r="D53" s="64"/>
      <c r="E53" s="64"/>
      <c r="F53" s="5" t="s">
        <v>104</v>
      </c>
      <c r="G53" s="2">
        <f>'Stavební rozpočet'!F59</f>
        <v>13.178</v>
      </c>
      <c r="H53" s="2">
        <f>'Stavební rozpočet'!G59</f>
        <v>0</v>
      </c>
      <c r="I53" s="2">
        <f>'Stavební rozpočet'!H59</f>
        <v>0</v>
      </c>
      <c r="J53" s="2">
        <f>'Stavební rozpočet'!I59</f>
        <v>0</v>
      </c>
      <c r="K53" s="2">
        <f>'Stavební rozpočet'!J59</f>
        <v>0</v>
      </c>
      <c r="L53" s="2">
        <f>'Stavební rozpočet'!K59</f>
        <v>0</v>
      </c>
      <c r="M53" s="2">
        <f>G53*L53</f>
        <v>0</v>
      </c>
      <c r="N53" s="50" t="s">
        <v>194</v>
      </c>
      <c r="Z53" s="2">
        <f>IF(AQ53="5",BJ53,0)</f>
        <v>0</v>
      </c>
      <c r="AB53" s="2">
        <f>IF(AQ53="1",BH53,0)</f>
        <v>0</v>
      </c>
      <c r="AC53" s="2">
        <f>IF(AQ53="1",BI53,0)</f>
        <v>0</v>
      </c>
      <c r="AD53" s="2">
        <f>IF(AQ53="7",BH53,0)</f>
        <v>0</v>
      </c>
      <c r="AE53" s="2">
        <f>IF(AQ53="7",BI53,0)</f>
        <v>0</v>
      </c>
      <c r="AF53" s="2">
        <f>IF(AQ53="2",BH53,0)</f>
        <v>0</v>
      </c>
      <c r="AG53" s="2">
        <f>IF(AQ53="2",BI53,0)</f>
        <v>0</v>
      </c>
      <c r="AH53" s="2">
        <f>IF(AQ53="0",BJ53,0)</f>
        <v>0</v>
      </c>
      <c r="AI53" s="41" t="s">
        <v>158</v>
      </c>
      <c r="AJ53" s="2">
        <f>IF(AN53=0,K53,0)</f>
        <v>0</v>
      </c>
      <c r="AK53" s="2">
        <f>IF(AN53=15,K53,0)</f>
        <v>0</v>
      </c>
      <c r="AL53" s="2">
        <f>IF(AN53=21,K53,0)</f>
        <v>0</v>
      </c>
      <c r="AN53" s="2">
        <v>21</v>
      </c>
      <c r="AO53" s="2">
        <f>H53*0</f>
        <v>0</v>
      </c>
      <c r="AP53" s="2">
        <f>H53*(1-0)</f>
        <v>0</v>
      </c>
      <c r="AQ53" s="34" t="s">
        <v>117</v>
      </c>
      <c r="AV53" s="2">
        <f>AW53+AX53</f>
        <v>0</v>
      </c>
      <c r="AW53" s="2">
        <f>G53*AO53</f>
        <v>0</v>
      </c>
      <c r="AX53" s="2">
        <f>G53*AP53</f>
        <v>0</v>
      </c>
      <c r="AY53" s="34" t="s">
        <v>95</v>
      </c>
      <c r="AZ53" s="34" t="s">
        <v>80</v>
      </c>
      <c r="BA53" s="41" t="s">
        <v>173</v>
      </c>
      <c r="BC53" s="2">
        <f>AW53+AX53</f>
        <v>0</v>
      </c>
      <c r="BD53" s="2">
        <f>H53/(100-BE53)*100</f>
        <v>0</v>
      </c>
      <c r="BE53" s="2">
        <v>0</v>
      </c>
      <c r="BF53" s="2">
        <f>M53</f>
        <v>0</v>
      </c>
      <c r="BH53" s="2">
        <f>G53*AO53</f>
        <v>0</v>
      </c>
      <c r="BI53" s="2">
        <f>G53*AP53</f>
        <v>0</v>
      </c>
      <c r="BJ53" s="2">
        <f>G53*H53</f>
        <v>0</v>
      </c>
      <c r="BK53" s="2"/>
      <c r="BL53" s="2">
        <v>9</v>
      </c>
    </row>
    <row r="54" spans="1:14" ht="15" customHeight="1">
      <c r="A54" s="36"/>
      <c r="C54" s="22" t="s">
        <v>0</v>
      </c>
      <c r="E54" s="22" t="s">
        <v>158</v>
      </c>
      <c r="G54" s="24">
        <v>13.178</v>
      </c>
      <c r="N54" s="32"/>
    </row>
    <row r="55" spans="1:14" ht="13.5" customHeight="1">
      <c r="A55" s="36"/>
      <c r="B55" s="56" t="s">
        <v>82</v>
      </c>
      <c r="C55" s="81" t="s">
        <v>161</v>
      </c>
      <c r="D55" s="82"/>
      <c r="E55" s="82"/>
      <c r="F55" s="82"/>
      <c r="G55" s="82"/>
      <c r="H55" s="82"/>
      <c r="I55" s="82"/>
      <c r="J55" s="82"/>
      <c r="K55" s="82"/>
      <c r="L55" s="82"/>
      <c r="M55" s="82"/>
      <c r="N55" s="83"/>
    </row>
    <row r="56" spans="1:64" ht="15" customHeight="1">
      <c r="A56" s="21" t="s">
        <v>86</v>
      </c>
      <c r="B56" s="5" t="s">
        <v>178</v>
      </c>
      <c r="C56" s="64" t="s">
        <v>147</v>
      </c>
      <c r="D56" s="64"/>
      <c r="E56" s="64"/>
      <c r="F56" s="5" t="s">
        <v>104</v>
      </c>
      <c r="G56" s="2">
        <f>'Stavební rozpočet'!F62</f>
        <v>13.178</v>
      </c>
      <c r="H56" s="2">
        <f>'Stavební rozpočet'!G62</f>
        <v>0</v>
      </c>
      <c r="I56" s="2">
        <f>'Stavební rozpočet'!H62</f>
        <v>0</v>
      </c>
      <c r="J56" s="2">
        <f>'Stavební rozpočet'!I62</f>
        <v>0</v>
      </c>
      <c r="K56" s="2">
        <f>'Stavební rozpočet'!J62</f>
        <v>0</v>
      </c>
      <c r="L56" s="2">
        <f>'Stavební rozpočet'!K62</f>
        <v>0</v>
      </c>
      <c r="M56" s="2">
        <f>G56*L56</f>
        <v>0</v>
      </c>
      <c r="N56" s="50" t="s">
        <v>194</v>
      </c>
      <c r="Z56" s="2">
        <f>IF(AQ56="5",BJ56,0)</f>
        <v>0</v>
      </c>
      <c r="AB56" s="2">
        <f>IF(AQ56="1",BH56,0)</f>
        <v>0</v>
      </c>
      <c r="AC56" s="2">
        <f>IF(AQ56="1",BI56,0)</f>
        <v>0</v>
      </c>
      <c r="AD56" s="2">
        <f>IF(AQ56="7",BH56,0)</f>
        <v>0</v>
      </c>
      <c r="AE56" s="2">
        <f>IF(AQ56="7",BI56,0)</f>
        <v>0</v>
      </c>
      <c r="AF56" s="2">
        <f>IF(AQ56="2",BH56,0)</f>
        <v>0</v>
      </c>
      <c r="AG56" s="2">
        <f>IF(AQ56="2",BI56,0)</f>
        <v>0</v>
      </c>
      <c r="AH56" s="2">
        <f>IF(AQ56="0",BJ56,0)</f>
        <v>0</v>
      </c>
      <c r="AI56" s="41" t="s">
        <v>158</v>
      </c>
      <c r="AJ56" s="2">
        <f>IF(AN56=0,K56,0)</f>
        <v>0</v>
      </c>
      <c r="AK56" s="2">
        <f>IF(AN56=15,K56,0)</f>
        <v>0</v>
      </c>
      <c r="AL56" s="2">
        <f>IF(AN56=21,K56,0)</f>
        <v>0</v>
      </c>
      <c r="AN56" s="2">
        <v>21</v>
      </c>
      <c r="AO56" s="2">
        <f>H56*0.0101450521251002</f>
        <v>0</v>
      </c>
      <c r="AP56" s="2">
        <f>H56*(1-0.0101450521251002)</f>
        <v>0</v>
      </c>
      <c r="AQ56" s="34" t="s">
        <v>117</v>
      </c>
      <c r="AV56" s="2">
        <f>AW56+AX56</f>
        <v>0</v>
      </c>
      <c r="AW56" s="2">
        <f>G56*AO56</f>
        <v>0</v>
      </c>
      <c r="AX56" s="2">
        <f>G56*AP56</f>
        <v>0</v>
      </c>
      <c r="AY56" s="34" t="s">
        <v>95</v>
      </c>
      <c r="AZ56" s="34" t="s">
        <v>80</v>
      </c>
      <c r="BA56" s="41" t="s">
        <v>173</v>
      </c>
      <c r="BC56" s="2">
        <f>AW56+AX56</f>
        <v>0</v>
      </c>
      <c r="BD56" s="2">
        <f>H56/(100-BE56)*100</f>
        <v>0</v>
      </c>
      <c r="BE56" s="2">
        <v>0</v>
      </c>
      <c r="BF56" s="2">
        <f>M56</f>
        <v>0</v>
      </c>
      <c r="BH56" s="2">
        <f>G56*AO56</f>
        <v>0</v>
      </c>
      <c r="BI56" s="2">
        <f>G56*AP56</f>
        <v>0</v>
      </c>
      <c r="BJ56" s="2">
        <f>G56*H56</f>
        <v>0</v>
      </c>
      <c r="BK56" s="2"/>
      <c r="BL56" s="2">
        <v>9</v>
      </c>
    </row>
    <row r="57" spans="1:14" ht="15" customHeight="1">
      <c r="A57" s="36"/>
      <c r="C57" s="22" t="s">
        <v>0</v>
      </c>
      <c r="E57" s="22" t="s">
        <v>158</v>
      </c>
      <c r="G57" s="24">
        <v>13.178</v>
      </c>
      <c r="N57" s="32"/>
    </row>
    <row r="58" spans="1:14" ht="27" customHeight="1">
      <c r="A58" s="36"/>
      <c r="B58" s="56" t="s">
        <v>82</v>
      </c>
      <c r="C58" s="81" t="s">
        <v>108</v>
      </c>
      <c r="D58" s="82"/>
      <c r="E58" s="82"/>
      <c r="F58" s="82"/>
      <c r="G58" s="82"/>
      <c r="H58" s="82"/>
      <c r="I58" s="82"/>
      <c r="J58" s="82"/>
      <c r="K58" s="82"/>
      <c r="L58" s="82"/>
      <c r="M58" s="82"/>
      <c r="N58" s="83"/>
    </row>
    <row r="59" spans="1:64" ht="15" customHeight="1">
      <c r="A59" s="21" t="s">
        <v>22</v>
      </c>
      <c r="B59" s="5" t="s">
        <v>154</v>
      </c>
      <c r="C59" s="64" t="s">
        <v>65</v>
      </c>
      <c r="D59" s="64"/>
      <c r="E59" s="64"/>
      <c r="F59" s="5" t="s">
        <v>104</v>
      </c>
      <c r="G59" s="2">
        <f>'Stavební rozpočet'!F65</f>
        <v>342.628</v>
      </c>
      <c r="H59" s="2">
        <f>'Stavební rozpočet'!G65</f>
        <v>0</v>
      </c>
      <c r="I59" s="2">
        <f>'Stavební rozpočet'!H65</f>
        <v>0</v>
      </c>
      <c r="J59" s="2">
        <f>'Stavební rozpočet'!I65</f>
        <v>0</v>
      </c>
      <c r="K59" s="2">
        <f>'Stavební rozpočet'!J65</f>
        <v>0</v>
      </c>
      <c r="L59" s="2">
        <f>'Stavební rozpočet'!K65</f>
        <v>0</v>
      </c>
      <c r="M59" s="2">
        <f>G59*L59</f>
        <v>0</v>
      </c>
      <c r="N59" s="50" t="s">
        <v>194</v>
      </c>
      <c r="Z59" s="2">
        <f>IF(AQ59="5",BJ59,0)</f>
        <v>0</v>
      </c>
      <c r="AB59" s="2">
        <f>IF(AQ59="1",BH59,0)</f>
        <v>0</v>
      </c>
      <c r="AC59" s="2">
        <f>IF(AQ59="1",BI59,0)</f>
        <v>0</v>
      </c>
      <c r="AD59" s="2">
        <f>IF(AQ59="7",BH59,0)</f>
        <v>0</v>
      </c>
      <c r="AE59" s="2">
        <f>IF(AQ59="7",BI59,0)</f>
        <v>0</v>
      </c>
      <c r="AF59" s="2">
        <f>IF(AQ59="2",BH59,0)</f>
        <v>0</v>
      </c>
      <c r="AG59" s="2">
        <f>IF(AQ59="2",BI59,0)</f>
        <v>0</v>
      </c>
      <c r="AH59" s="2">
        <f>IF(AQ59="0",BJ59,0)</f>
        <v>0</v>
      </c>
      <c r="AI59" s="41" t="s">
        <v>158</v>
      </c>
      <c r="AJ59" s="2">
        <f>IF(AN59=0,K59,0)</f>
        <v>0</v>
      </c>
      <c r="AK59" s="2">
        <f>IF(AN59=15,K59,0)</f>
        <v>0</v>
      </c>
      <c r="AL59" s="2">
        <f>IF(AN59=21,K59,0)</f>
        <v>0</v>
      </c>
      <c r="AN59" s="2">
        <v>21</v>
      </c>
      <c r="AO59" s="2">
        <f>H59*0</f>
        <v>0</v>
      </c>
      <c r="AP59" s="2">
        <f>H59*(1-0)</f>
        <v>0</v>
      </c>
      <c r="AQ59" s="34" t="s">
        <v>117</v>
      </c>
      <c r="AV59" s="2">
        <f>AW59+AX59</f>
        <v>0</v>
      </c>
      <c r="AW59" s="2">
        <f>G59*AO59</f>
        <v>0</v>
      </c>
      <c r="AX59" s="2">
        <f>G59*AP59</f>
        <v>0</v>
      </c>
      <c r="AY59" s="34" t="s">
        <v>95</v>
      </c>
      <c r="AZ59" s="34" t="s">
        <v>80</v>
      </c>
      <c r="BA59" s="41" t="s">
        <v>173</v>
      </c>
      <c r="BC59" s="2">
        <f>AW59+AX59</f>
        <v>0</v>
      </c>
      <c r="BD59" s="2">
        <f>H59/(100-BE59)*100</f>
        <v>0</v>
      </c>
      <c r="BE59" s="2">
        <v>0</v>
      </c>
      <c r="BF59" s="2">
        <f>M59</f>
        <v>0</v>
      </c>
      <c r="BH59" s="2">
        <f>G59*AO59</f>
        <v>0</v>
      </c>
      <c r="BI59" s="2">
        <f>G59*AP59</f>
        <v>0</v>
      </c>
      <c r="BJ59" s="2">
        <f>G59*H59</f>
        <v>0</v>
      </c>
      <c r="BK59" s="2"/>
      <c r="BL59" s="2">
        <v>9</v>
      </c>
    </row>
    <row r="60" spans="1:14" ht="15" customHeight="1">
      <c r="A60" s="36"/>
      <c r="C60" s="22" t="s">
        <v>149</v>
      </c>
      <c r="E60" s="22" t="s">
        <v>158</v>
      </c>
      <c r="G60" s="24">
        <v>342.62800000000004</v>
      </c>
      <c r="N60" s="32"/>
    </row>
    <row r="61" spans="1:64" ht="15" customHeight="1">
      <c r="A61" s="21" t="s">
        <v>159</v>
      </c>
      <c r="B61" s="5" t="s">
        <v>176</v>
      </c>
      <c r="C61" s="64" t="s">
        <v>162</v>
      </c>
      <c r="D61" s="64"/>
      <c r="E61" s="64"/>
      <c r="F61" s="5" t="s">
        <v>104</v>
      </c>
      <c r="G61" s="2">
        <f>'Stavební rozpočet'!F67</f>
        <v>13.178</v>
      </c>
      <c r="H61" s="2">
        <f>'Stavební rozpočet'!G67</f>
        <v>0</v>
      </c>
      <c r="I61" s="2">
        <f>'Stavební rozpočet'!H67</f>
        <v>0</v>
      </c>
      <c r="J61" s="2">
        <f>'Stavební rozpočet'!I67</f>
        <v>0</v>
      </c>
      <c r="K61" s="2">
        <f>'Stavební rozpočet'!J67</f>
        <v>0</v>
      </c>
      <c r="L61" s="2">
        <f>'Stavební rozpočet'!K67</f>
        <v>0</v>
      </c>
      <c r="M61" s="2">
        <f>G61*L61</f>
        <v>0</v>
      </c>
      <c r="N61" s="50" t="s">
        <v>194</v>
      </c>
      <c r="Z61" s="2">
        <f>IF(AQ61="5",BJ61,0)</f>
        <v>0</v>
      </c>
      <c r="AB61" s="2">
        <f>IF(AQ61="1",BH61,0)</f>
        <v>0</v>
      </c>
      <c r="AC61" s="2">
        <f>IF(AQ61="1",BI61,0)</f>
        <v>0</v>
      </c>
      <c r="AD61" s="2">
        <f>IF(AQ61="7",BH61,0)</f>
        <v>0</v>
      </c>
      <c r="AE61" s="2">
        <f>IF(AQ61="7",BI61,0)</f>
        <v>0</v>
      </c>
      <c r="AF61" s="2">
        <f>IF(AQ61="2",BH61,0)</f>
        <v>0</v>
      </c>
      <c r="AG61" s="2">
        <f>IF(AQ61="2",BI61,0)</f>
        <v>0</v>
      </c>
      <c r="AH61" s="2">
        <f>IF(AQ61="0",BJ61,0)</f>
        <v>0</v>
      </c>
      <c r="AI61" s="41" t="s">
        <v>158</v>
      </c>
      <c r="AJ61" s="2">
        <f>IF(AN61=0,K61,0)</f>
        <v>0</v>
      </c>
      <c r="AK61" s="2">
        <f>IF(AN61=15,K61,0)</f>
        <v>0</v>
      </c>
      <c r="AL61" s="2">
        <f>IF(AN61=21,K61,0)</f>
        <v>0</v>
      </c>
      <c r="AN61" s="2">
        <v>21</v>
      </c>
      <c r="AO61" s="2">
        <f>H61*0</f>
        <v>0</v>
      </c>
      <c r="AP61" s="2">
        <f>H61*(1-0)</f>
        <v>0</v>
      </c>
      <c r="AQ61" s="34" t="s">
        <v>117</v>
      </c>
      <c r="AV61" s="2">
        <f>AW61+AX61</f>
        <v>0</v>
      </c>
      <c r="AW61" s="2">
        <f>G61*AO61</f>
        <v>0</v>
      </c>
      <c r="AX61" s="2">
        <f>G61*AP61</f>
        <v>0</v>
      </c>
      <c r="AY61" s="34" t="s">
        <v>95</v>
      </c>
      <c r="AZ61" s="34" t="s">
        <v>80</v>
      </c>
      <c r="BA61" s="41" t="s">
        <v>173</v>
      </c>
      <c r="BC61" s="2">
        <f>AW61+AX61</f>
        <v>0</v>
      </c>
      <c r="BD61" s="2">
        <f>H61/(100-BE61)*100</f>
        <v>0</v>
      </c>
      <c r="BE61" s="2">
        <v>0</v>
      </c>
      <c r="BF61" s="2">
        <f>M61</f>
        <v>0</v>
      </c>
      <c r="BH61" s="2">
        <f>G61*AO61</f>
        <v>0</v>
      </c>
      <c r="BI61" s="2">
        <f>G61*AP61</f>
        <v>0</v>
      </c>
      <c r="BJ61" s="2">
        <f>G61*H61</f>
        <v>0</v>
      </c>
      <c r="BK61" s="2"/>
      <c r="BL61" s="2">
        <v>9</v>
      </c>
    </row>
    <row r="62" spans="1:14" ht="15" customHeight="1">
      <c r="A62" s="36"/>
      <c r="C62" s="22" t="s">
        <v>0</v>
      </c>
      <c r="E62" s="22" t="s">
        <v>158</v>
      </c>
      <c r="G62" s="24">
        <v>13.178</v>
      </c>
      <c r="N62" s="32"/>
    </row>
    <row r="63" spans="1:64" ht="15" customHeight="1">
      <c r="A63" s="21" t="s">
        <v>182</v>
      </c>
      <c r="B63" s="5" t="s">
        <v>131</v>
      </c>
      <c r="C63" s="64" t="s">
        <v>208</v>
      </c>
      <c r="D63" s="64"/>
      <c r="E63" s="64"/>
      <c r="F63" s="5" t="s">
        <v>104</v>
      </c>
      <c r="G63" s="2">
        <f>'Stavební rozpočet'!F69</f>
        <v>13.178</v>
      </c>
      <c r="H63" s="2">
        <f>'Stavební rozpočet'!G69</f>
        <v>0</v>
      </c>
      <c r="I63" s="2">
        <f>'Stavební rozpočet'!H69</f>
        <v>0</v>
      </c>
      <c r="J63" s="2">
        <f>'Stavební rozpočet'!I69</f>
        <v>0</v>
      </c>
      <c r="K63" s="2">
        <f>'Stavební rozpočet'!J69</f>
        <v>0</v>
      </c>
      <c r="L63" s="2">
        <f>'Stavební rozpočet'!K69</f>
        <v>0</v>
      </c>
      <c r="M63" s="2">
        <f>G63*L63</f>
        <v>0</v>
      </c>
      <c r="N63" s="50" t="s">
        <v>194</v>
      </c>
      <c r="Z63" s="2">
        <f>IF(AQ63="5",BJ63,0)</f>
        <v>0</v>
      </c>
      <c r="AB63" s="2">
        <f>IF(AQ63="1",BH63,0)</f>
        <v>0</v>
      </c>
      <c r="AC63" s="2">
        <f>IF(AQ63="1",BI63,0)</f>
        <v>0</v>
      </c>
      <c r="AD63" s="2">
        <f>IF(AQ63="7",BH63,0)</f>
        <v>0</v>
      </c>
      <c r="AE63" s="2">
        <f>IF(AQ63="7",BI63,0)</f>
        <v>0</v>
      </c>
      <c r="AF63" s="2">
        <f>IF(AQ63="2",BH63,0)</f>
        <v>0</v>
      </c>
      <c r="AG63" s="2">
        <f>IF(AQ63="2",BI63,0)</f>
        <v>0</v>
      </c>
      <c r="AH63" s="2">
        <f>IF(AQ63="0",BJ63,0)</f>
        <v>0</v>
      </c>
      <c r="AI63" s="41" t="s">
        <v>158</v>
      </c>
      <c r="AJ63" s="2">
        <f>IF(AN63=0,K63,0)</f>
        <v>0</v>
      </c>
      <c r="AK63" s="2">
        <f>IF(AN63=15,K63,0)</f>
        <v>0</v>
      </c>
      <c r="AL63" s="2">
        <f>IF(AN63=21,K63,0)</f>
        <v>0</v>
      </c>
      <c r="AN63" s="2">
        <v>21</v>
      </c>
      <c r="AO63" s="2">
        <f>H63*0</f>
        <v>0</v>
      </c>
      <c r="AP63" s="2">
        <f>H63*(1-0)</f>
        <v>0</v>
      </c>
      <c r="AQ63" s="34" t="s">
        <v>117</v>
      </c>
      <c r="AV63" s="2">
        <f>AW63+AX63</f>
        <v>0</v>
      </c>
      <c r="AW63" s="2">
        <f>G63*AO63</f>
        <v>0</v>
      </c>
      <c r="AX63" s="2">
        <f>G63*AP63</f>
        <v>0</v>
      </c>
      <c r="AY63" s="34" t="s">
        <v>95</v>
      </c>
      <c r="AZ63" s="34" t="s">
        <v>80</v>
      </c>
      <c r="BA63" s="41" t="s">
        <v>173</v>
      </c>
      <c r="BC63" s="2">
        <f>AW63+AX63</f>
        <v>0</v>
      </c>
      <c r="BD63" s="2">
        <f>H63/(100-BE63)*100</f>
        <v>0</v>
      </c>
      <c r="BE63" s="2">
        <v>0</v>
      </c>
      <c r="BF63" s="2">
        <f>M63</f>
        <v>0</v>
      </c>
      <c r="BH63" s="2">
        <f>G63*AO63</f>
        <v>0</v>
      </c>
      <c r="BI63" s="2">
        <f>G63*AP63</f>
        <v>0</v>
      </c>
      <c r="BJ63" s="2">
        <f>G63*H63</f>
        <v>0</v>
      </c>
      <c r="BK63" s="2"/>
      <c r="BL63" s="2">
        <v>9</v>
      </c>
    </row>
    <row r="64" spans="1:14" ht="15" customHeight="1">
      <c r="A64" s="36"/>
      <c r="C64" s="22" t="s">
        <v>0</v>
      </c>
      <c r="E64" s="22" t="s">
        <v>158</v>
      </c>
      <c r="G64" s="24">
        <v>13.178</v>
      </c>
      <c r="N64" s="32"/>
    </row>
    <row r="65" spans="1:14" ht="27" customHeight="1">
      <c r="A65" s="36"/>
      <c r="B65" s="56" t="s">
        <v>82</v>
      </c>
      <c r="C65" s="81" t="s">
        <v>187</v>
      </c>
      <c r="D65" s="82"/>
      <c r="E65" s="82"/>
      <c r="F65" s="82"/>
      <c r="G65" s="82"/>
      <c r="H65" s="82"/>
      <c r="I65" s="82"/>
      <c r="J65" s="82"/>
      <c r="K65" s="82"/>
      <c r="L65" s="82"/>
      <c r="M65" s="82"/>
      <c r="N65" s="83"/>
    </row>
    <row r="66" spans="1:47" ht="15" customHeight="1">
      <c r="A66" s="42" t="s">
        <v>158</v>
      </c>
      <c r="B66" s="13" t="s">
        <v>158</v>
      </c>
      <c r="C66" s="80" t="s">
        <v>16</v>
      </c>
      <c r="D66" s="80"/>
      <c r="E66" s="80"/>
      <c r="F66" s="1" t="s">
        <v>215</v>
      </c>
      <c r="G66" s="1" t="s">
        <v>215</v>
      </c>
      <c r="H66" s="1" t="s">
        <v>215</v>
      </c>
      <c r="I66" s="28">
        <f>SUM(I67:I73)</f>
        <v>0</v>
      </c>
      <c r="J66" s="28">
        <f>SUM(J67:J73)</f>
        <v>0</v>
      </c>
      <c r="K66" s="28">
        <f>SUM(K67:K73)</f>
        <v>0</v>
      </c>
      <c r="L66" s="41" t="s">
        <v>158</v>
      </c>
      <c r="M66" s="28">
        <f>SUM(M67:M73)</f>
        <v>2.457</v>
      </c>
      <c r="N66" s="6" t="s">
        <v>158</v>
      </c>
      <c r="AI66" s="41" t="s">
        <v>158</v>
      </c>
      <c r="AS66" s="28">
        <f>SUM(AJ67:AJ73)</f>
        <v>0</v>
      </c>
      <c r="AT66" s="28">
        <f>SUM(AK67:AK73)</f>
        <v>0</v>
      </c>
      <c r="AU66" s="28">
        <f>SUM(AL67:AL73)</f>
        <v>0</v>
      </c>
    </row>
    <row r="67" spans="1:64" ht="15" customHeight="1">
      <c r="A67" s="21" t="s">
        <v>139</v>
      </c>
      <c r="B67" s="5" t="s">
        <v>128</v>
      </c>
      <c r="C67" s="64" t="s">
        <v>243</v>
      </c>
      <c r="D67" s="64"/>
      <c r="E67" s="64"/>
      <c r="F67" s="5" t="s">
        <v>55</v>
      </c>
      <c r="G67" s="2">
        <f>'Stavební rozpočet'!F73</f>
        <v>31</v>
      </c>
      <c r="H67" s="2">
        <f>'Stavební rozpočet'!G73</f>
        <v>0</v>
      </c>
      <c r="I67" s="2">
        <f>'Stavební rozpočet'!H73</f>
        <v>0</v>
      </c>
      <c r="J67" s="2">
        <f>'Stavební rozpočet'!I73</f>
        <v>0</v>
      </c>
      <c r="K67" s="2">
        <f>'Stavební rozpočet'!J73</f>
        <v>0</v>
      </c>
      <c r="L67" s="2">
        <f>'Stavební rozpočet'!K73</f>
        <v>0.0405</v>
      </c>
      <c r="M67" s="2">
        <f>G67*L67</f>
        <v>1.2555</v>
      </c>
      <c r="N67" s="50" t="s">
        <v>194</v>
      </c>
      <c r="Z67" s="2">
        <f>IF(AQ67="5",BJ67,0)</f>
        <v>0</v>
      </c>
      <c r="AB67" s="2">
        <f>IF(AQ67="1",BH67,0)</f>
        <v>0</v>
      </c>
      <c r="AC67" s="2">
        <f>IF(AQ67="1",BI67,0)</f>
        <v>0</v>
      </c>
      <c r="AD67" s="2">
        <f>IF(AQ67="7",BH67,0)</f>
        <v>0</v>
      </c>
      <c r="AE67" s="2">
        <f>IF(AQ67="7",BI67,0)</f>
        <v>0</v>
      </c>
      <c r="AF67" s="2">
        <f>IF(AQ67="2",BH67,0)</f>
        <v>0</v>
      </c>
      <c r="AG67" s="2">
        <f>IF(AQ67="2",BI67,0)</f>
        <v>0</v>
      </c>
      <c r="AH67" s="2">
        <f>IF(AQ67="0",BJ67,0)</f>
        <v>0</v>
      </c>
      <c r="AI67" s="41" t="s">
        <v>158</v>
      </c>
      <c r="AJ67" s="2">
        <f>IF(AN67=0,K67,0)</f>
        <v>0</v>
      </c>
      <c r="AK67" s="2">
        <f>IF(AN67=15,K67,0)</f>
        <v>0</v>
      </c>
      <c r="AL67" s="2">
        <f>IF(AN67=21,K67,0)</f>
        <v>0</v>
      </c>
      <c r="AN67" s="2">
        <v>21</v>
      </c>
      <c r="AO67" s="2">
        <f>H67*1</f>
        <v>0</v>
      </c>
      <c r="AP67" s="2">
        <f>H67*(1-1)</f>
        <v>0</v>
      </c>
      <c r="AQ67" s="34" t="s">
        <v>115</v>
      </c>
      <c r="AV67" s="2">
        <f>AW67+AX67</f>
        <v>0</v>
      </c>
      <c r="AW67" s="2">
        <f>G67*AO67</f>
        <v>0</v>
      </c>
      <c r="AX67" s="2">
        <f>G67*AP67</f>
        <v>0</v>
      </c>
      <c r="AY67" s="34" t="s">
        <v>48</v>
      </c>
      <c r="AZ67" s="34" t="s">
        <v>213</v>
      </c>
      <c r="BA67" s="41" t="s">
        <v>173</v>
      </c>
      <c r="BC67" s="2">
        <f>AW67+AX67</f>
        <v>0</v>
      </c>
      <c r="BD67" s="2">
        <f>H67/(100-BE67)*100</f>
        <v>0</v>
      </c>
      <c r="BE67" s="2">
        <v>0</v>
      </c>
      <c r="BF67" s="2">
        <f>M67</f>
        <v>1.2555</v>
      </c>
      <c r="BH67" s="2">
        <f>G67*AO67</f>
        <v>0</v>
      </c>
      <c r="BI67" s="2">
        <f>G67*AP67</f>
        <v>0</v>
      </c>
      <c r="BJ67" s="2">
        <f>G67*H67</f>
        <v>0</v>
      </c>
      <c r="BK67" s="2"/>
      <c r="BL67" s="2"/>
    </row>
    <row r="68" spans="1:14" ht="15" customHeight="1">
      <c r="A68" s="36"/>
      <c r="C68" s="22" t="s">
        <v>130</v>
      </c>
      <c r="E68" s="22" t="s">
        <v>158</v>
      </c>
      <c r="G68" s="24">
        <v>31.000000000000004</v>
      </c>
      <c r="N68" s="32"/>
    </row>
    <row r="69" spans="1:14" ht="13.5" customHeight="1">
      <c r="A69" s="36"/>
      <c r="B69" s="56" t="s">
        <v>82</v>
      </c>
      <c r="C69" s="81" t="s">
        <v>188</v>
      </c>
      <c r="D69" s="82"/>
      <c r="E69" s="82"/>
      <c r="F69" s="82"/>
      <c r="G69" s="82"/>
      <c r="H69" s="82"/>
      <c r="I69" s="82"/>
      <c r="J69" s="82"/>
      <c r="K69" s="82"/>
      <c r="L69" s="82"/>
      <c r="M69" s="82"/>
      <c r="N69" s="83"/>
    </row>
    <row r="70" spans="1:64" ht="15" customHeight="1">
      <c r="A70" s="21" t="s">
        <v>10</v>
      </c>
      <c r="B70" s="5" t="s">
        <v>128</v>
      </c>
      <c r="C70" s="64" t="s">
        <v>248</v>
      </c>
      <c r="D70" s="64"/>
      <c r="E70" s="64"/>
      <c r="F70" s="5" t="s">
        <v>55</v>
      </c>
      <c r="G70" s="2">
        <f>'Stavební rozpočet'!F76</f>
        <v>3</v>
      </c>
      <c r="H70" s="2">
        <f>'Stavební rozpočet'!G76</f>
        <v>0</v>
      </c>
      <c r="I70" s="2">
        <f>'Stavební rozpočet'!H76</f>
        <v>0</v>
      </c>
      <c r="J70" s="2">
        <f>'Stavební rozpočet'!I76</f>
        <v>0</v>
      </c>
      <c r="K70" s="2">
        <f>'Stavební rozpočet'!J76</f>
        <v>0</v>
      </c>
      <c r="L70" s="2">
        <f>'Stavební rozpočet'!K76</f>
        <v>0.0405</v>
      </c>
      <c r="M70" s="2">
        <f>G70*L70</f>
        <v>0.1215</v>
      </c>
      <c r="N70" s="50" t="s">
        <v>194</v>
      </c>
      <c r="Z70" s="2">
        <f>IF(AQ70="5",BJ70,0)</f>
        <v>0</v>
      </c>
      <c r="AB70" s="2">
        <f>IF(AQ70="1",BH70,0)</f>
        <v>0</v>
      </c>
      <c r="AC70" s="2">
        <f>IF(AQ70="1",BI70,0)</f>
        <v>0</v>
      </c>
      <c r="AD70" s="2">
        <f>IF(AQ70="7",BH70,0)</f>
        <v>0</v>
      </c>
      <c r="AE70" s="2">
        <f>IF(AQ70="7",BI70,0)</f>
        <v>0</v>
      </c>
      <c r="AF70" s="2">
        <f>IF(AQ70="2",BH70,0)</f>
        <v>0</v>
      </c>
      <c r="AG70" s="2">
        <f>IF(AQ70="2",BI70,0)</f>
        <v>0</v>
      </c>
      <c r="AH70" s="2">
        <f>IF(AQ70="0",BJ70,0)</f>
        <v>0</v>
      </c>
      <c r="AI70" s="41" t="s">
        <v>158</v>
      </c>
      <c r="AJ70" s="2">
        <f>IF(AN70=0,K70,0)</f>
        <v>0</v>
      </c>
      <c r="AK70" s="2">
        <f>IF(AN70=15,K70,0)</f>
        <v>0</v>
      </c>
      <c r="AL70" s="2">
        <f>IF(AN70=21,K70,0)</f>
        <v>0</v>
      </c>
      <c r="AN70" s="2">
        <v>21</v>
      </c>
      <c r="AO70" s="2">
        <f>H70*1</f>
        <v>0</v>
      </c>
      <c r="AP70" s="2">
        <f>H70*(1-1)</f>
        <v>0</v>
      </c>
      <c r="AQ70" s="34" t="s">
        <v>115</v>
      </c>
      <c r="AV70" s="2">
        <f>AW70+AX70</f>
        <v>0</v>
      </c>
      <c r="AW70" s="2">
        <f>G70*AO70</f>
        <v>0</v>
      </c>
      <c r="AX70" s="2">
        <f>G70*AP70</f>
        <v>0</v>
      </c>
      <c r="AY70" s="34" t="s">
        <v>48</v>
      </c>
      <c r="AZ70" s="34" t="s">
        <v>213</v>
      </c>
      <c r="BA70" s="41" t="s">
        <v>173</v>
      </c>
      <c r="BC70" s="2">
        <f>AW70+AX70</f>
        <v>0</v>
      </c>
      <c r="BD70" s="2">
        <f>H70/(100-BE70)*100</f>
        <v>0</v>
      </c>
      <c r="BE70" s="2">
        <v>0</v>
      </c>
      <c r="BF70" s="2">
        <f>M70</f>
        <v>0.1215</v>
      </c>
      <c r="BH70" s="2">
        <f>G70*AO70</f>
        <v>0</v>
      </c>
      <c r="BI70" s="2">
        <f>G70*AP70</f>
        <v>0</v>
      </c>
      <c r="BJ70" s="2">
        <f>G70*H70</f>
        <v>0</v>
      </c>
      <c r="BK70" s="2"/>
      <c r="BL70" s="2"/>
    </row>
    <row r="71" spans="1:14" ht="15" customHeight="1">
      <c r="A71" s="36"/>
      <c r="C71" s="22" t="s">
        <v>201</v>
      </c>
      <c r="E71" s="22" t="s">
        <v>158</v>
      </c>
      <c r="G71" s="24">
        <v>3.0000000000000004</v>
      </c>
      <c r="N71" s="32"/>
    </row>
    <row r="72" spans="1:14" ht="13.5" customHeight="1">
      <c r="A72" s="36"/>
      <c r="B72" s="56" t="s">
        <v>82</v>
      </c>
      <c r="C72" s="81" t="s">
        <v>250</v>
      </c>
      <c r="D72" s="82"/>
      <c r="E72" s="82"/>
      <c r="F72" s="82"/>
      <c r="G72" s="82"/>
      <c r="H72" s="82"/>
      <c r="I72" s="82"/>
      <c r="J72" s="82"/>
      <c r="K72" s="82"/>
      <c r="L72" s="82"/>
      <c r="M72" s="82"/>
      <c r="N72" s="83"/>
    </row>
    <row r="73" spans="1:64" ht="15" customHeight="1">
      <c r="A73" s="21" t="s">
        <v>160</v>
      </c>
      <c r="B73" s="5" t="s">
        <v>93</v>
      </c>
      <c r="C73" s="64" t="s">
        <v>91</v>
      </c>
      <c r="D73" s="64"/>
      <c r="E73" s="64"/>
      <c r="F73" s="5" t="s">
        <v>55</v>
      </c>
      <c r="G73" s="2">
        <f>'Stavební rozpočet'!F79</f>
        <v>24</v>
      </c>
      <c r="H73" s="2">
        <f>'Stavební rozpočet'!G79</f>
        <v>0</v>
      </c>
      <c r="I73" s="2">
        <f>'Stavební rozpočet'!H79</f>
        <v>0</v>
      </c>
      <c r="J73" s="2">
        <f>'Stavební rozpočet'!I79</f>
        <v>0</v>
      </c>
      <c r="K73" s="2">
        <f>'Stavební rozpočet'!J79</f>
        <v>0</v>
      </c>
      <c r="L73" s="2">
        <f>'Stavební rozpočet'!K79</f>
        <v>0.045</v>
      </c>
      <c r="M73" s="2">
        <f>G73*L73</f>
        <v>1.08</v>
      </c>
      <c r="N73" s="50" t="s">
        <v>194</v>
      </c>
      <c r="Z73" s="2">
        <f>IF(AQ73="5",BJ73,0)</f>
        <v>0</v>
      </c>
      <c r="AB73" s="2">
        <f>IF(AQ73="1",BH73,0)</f>
        <v>0</v>
      </c>
      <c r="AC73" s="2">
        <f>IF(AQ73="1",BI73,0)</f>
        <v>0</v>
      </c>
      <c r="AD73" s="2">
        <f>IF(AQ73="7",BH73,0)</f>
        <v>0</v>
      </c>
      <c r="AE73" s="2">
        <f>IF(AQ73="7",BI73,0)</f>
        <v>0</v>
      </c>
      <c r="AF73" s="2">
        <f>IF(AQ73="2",BH73,0)</f>
        <v>0</v>
      </c>
      <c r="AG73" s="2">
        <f>IF(AQ73="2",BI73,0)</f>
        <v>0</v>
      </c>
      <c r="AH73" s="2">
        <f>IF(AQ73="0",BJ73,0)</f>
        <v>0</v>
      </c>
      <c r="AI73" s="41" t="s">
        <v>158</v>
      </c>
      <c r="AJ73" s="2">
        <f>IF(AN73=0,K73,0)</f>
        <v>0</v>
      </c>
      <c r="AK73" s="2">
        <f>IF(AN73=15,K73,0)</f>
        <v>0</v>
      </c>
      <c r="AL73" s="2">
        <f>IF(AN73=21,K73,0)</f>
        <v>0</v>
      </c>
      <c r="AN73" s="2">
        <v>21</v>
      </c>
      <c r="AO73" s="2">
        <f>H73*1</f>
        <v>0</v>
      </c>
      <c r="AP73" s="2">
        <f>H73*(1-1)</f>
        <v>0</v>
      </c>
      <c r="AQ73" s="34" t="s">
        <v>115</v>
      </c>
      <c r="AV73" s="2">
        <f>AW73+AX73</f>
        <v>0</v>
      </c>
      <c r="AW73" s="2">
        <f>G73*AO73</f>
        <v>0</v>
      </c>
      <c r="AX73" s="2">
        <f>G73*AP73</f>
        <v>0</v>
      </c>
      <c r="AY73" s="34" t="s">
        <v>48</v>
      </c>
      <c r="AZ73" s="34" t="s">
        <v>213</v>
      </c>
      <c r="BA73" s="41" t="s">
        <v>173</v>
      </c>
      <c r="BC73" s="2">
        <f>AW73+AX73</f>
        <v>0</v>
      </c>
      <c r="BD73" s="2">
        <f>H73/(100-BE73)*100</f>
        <v>0</v>
      </c>
      <c r="BE73" s="2">
        <v>0</v>
      </c>
      <c r="BF73" s="2">
        <f>M73</f>
        <v>1.08</v>
      </c>
      <c r="BH73" s="2">
        <f>G73*AO73</f>
        <v>0</v>
      </c>
      <c r="BI73" s="2">
        <f>G73*AP73</f>
        <v>0</v>
      </c>
      <c r="BJ73" s="2">
        <f>G73*H73</f>
        <v>0</v>
      </c>
      <c r="BK73" s="2"/>
      <c r="BL73" s="2"/>
    </row>
    <row r="74" spans="1:14" ht="15" customHeight="1">
      <c r="A74" s="36"/>
      <c r="C74" s="22" t="s">
        <v>24</v>
      </c>
      <c r="E74" s="22" t="s">
        <v>158</v>
      </c>
      <c r="G74" s="24">
        <v>24.000000000000004</v>
      </c>
      <c r="N74" s="32"/>
    </row>
    <row r="75" spans="1:14" ht="13.5" customHeight="1">
      <c r="A75" s="53"/>
      <c r="B75" s="3" t="s">
        <v>82</v>
      </c>
      <c r="C75" s="84" t="s">
        <v>200</v>
      </c>
      <c r="D75" s="85"/>
      <c r="E75" s="85"/>
      <c r="F75" s="85"/>
      <c r="G75" s="85"/>
      <c r="H75" s="85"/>
      <c r="I75" s="85"/>
      <c r="J75" s="85"/>
      <c r="K75" s="85"/>
      <c r="L75" s="85"/>
      <c r="M75" s="85"/>
      <c r="N75" s="86"/>
    </row>
    <row r="76" spans="9:11" ht="15" customHeight="1">
      <c r="I76" s="70" t="s">
        <v>180</v>
      </c>
      <c r="J76" s="70"/>
      <c r="K76" s="18">
        <f>K12+K28+K33+K40+K66</f>
        <v>0</v>
      </c>
    </row>
    <row r="77" ht="15" customHeight="1">
      <c r="A77" s="47" t="s">
        <v>20</v>
      </c>
    </row>
    <row r="78" spans="1:14" ht="12.75" customHeight="1">
      <c r="A78" s="67" t="s">
        <v>158</v>
      </c>
      <c r="B78" s="64"/>
      <c r="C78" s="64"/>
      <c r="D78" s="64"/>
      <c r="E78" s="64"/>
      <c r="F78" s="64"/>
      <c r="G78" s="64"/>
      <c r="H78" s="64"/>
      <c r="I78" s="64"/>
      <c r="J78" s="64"/>
      <c r="K78" s="64"/>
      <c r="L78" s="64"/>
      <c r="M78" s="64"/>
      <c r="N78" s="64"/>
    </row>
  </sheetData>
  <sheetProtection/>
  <mergeCells count="69">
    <mergeCell ref="A78:N78"/>
    <mergeCell ref="C69:N69"/>
    <mergeCell ref="C70:E70"/>
    <mergeCell ref="C72:N72"/>
    <mergeCell ref="C73:E73"/>
    <mergeCell ref="C75:N75"/>
    <mergeCell ref="I76:J76"/>
    <mergeCell ref="C59:E59"/>
    <mergeCell ref="C61:E61"/>
    <mergeCell ref="C63:E63"/>
    <mergeCell ref="C65:N65"/>
    <mergeCell ref="C66:E66"/>
    <mergeCell ref="C67:E67"/>
    <mergeCell ref="C50:N50"/>
    <mergeCell ref="C51:E51"/>
    <mergeCell ref="C53:E53"/>
    <mergeCell ref="C55:N55"/>
    <mergeCell ref="C56:E56"/>
    <mergeCell ref="C58:N58"/>
    <mergeCell ref="C37:E37"/>
    <mergeCell ref="C39:N39"/>
    <mergeCell ref="C40:E40"/>
    <mergeCell ref="C41:E41"/>
    <mergeCell ref="C45:N45"/>
    <mergeCell ref="C46:E46"/>
    <mergeCell ref="C28:E28"/>
    <mergeCell ref="C29:E29"/>
    <mergeCell ref="C31:E31"/>
    <mergeCell ref="C33:E33"/>
    <mergeCell ref="C34:E34"/>
    <mergeCell ref="C36:N36"/>
    <mergeCell ref="C18:N18"/>
    <mergeCell ref="C19:E19"/>
    <mergeCell ref="C21:E21"/>
    <mergeCell ref="C23:E23"/>
    <mergeCell ref="C25:E25"/>
    <mergeCell ref="C27:N27"/>
    <mergeCell ref="C11:E11"/>
    <mergeCell ref="I10:K10"/>
    <mergeCell ref="L10:M10"/>
    <mergeCell ref="C12:E12"/>
    <mergeCell ref="C13:E13"/>
    <mergeCell ref="C15:E15"/>
    <mergeCell ref="G8:G9"/>
    <mergeCell ref="I2:N3"/>
    <mergeCell ref="I4:N5"/>
    <mergeCell ref="I6:N7"/>
    <mergeCell ref="I8:N9"/>
    <mergeCell ref="C10:E10"/>
    <mergeCell ref="H4:H5"/>
    <mergeCell ref="H6:H7"/>
    <mergeCell ref="H8:H9"/>
    <mergeCell ref="C2:D3"/>
    <mergeCell ref="C4:D5"/>
    <mergeCell ref="C6:D7"/>
    <mergeCell ref="C8:D9"/>
    <mergeCell ref="G2:G3"/>
    <mergeCell ref="G4:G5"/>
    <mergeCell ref="G6:G7"/>
    <mergeCell ref="A1:N1"/>
    <mergeCell ref="A2:B3"/>
    <mergeCell ref="A4:B5"/>
    <mergeCell ref="A6:B7"/>
    <mergeCell ref="A8:B9"/>
    <mergeCell ref="E2:F3"/>
    <mergeCell ref="E4:F5"/>
    <mergeCell ref="E6:F7"/>
    <mergeCell ref="E8:F9"/>
    <mergeCell ref="H2:H3"/>
  </mergeCells>
  <printOptions/>
  <pageMargins left="0.394" right="0.394" top="0.591" bottom="0.591" header="0" footer="0"/>
  <pageSetup firstPageNumber="0" useFirstPageNumber="1" fitToHeight="0" fitToWidth="1"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P19"/>
  <sheetViews>
    <sheetView showOutlineSymbols="0" zoomScalePageLayoutView="0" workbookViewId="0" topLeftCell="A1">
      <pane ySplit="11" topLeftCell="A12" activePane="bottomLeft" state="frozen"/>
      <selection pane="topLeft" activeCell="A19" sqref="A19:L19"/>
      <selection pane="bottomLeft" activeCell="A1" sqref="A1"/>
    </sheetView>
  </sheetViews>
  <sheetFormatPr defaultColWidth="14.16015625" defaultRowHeight="15" customHeight="1"/>
  <cols>
    <col min="1" max="1" width="6.66015625" style="0" customWidth="1"/>
    <col min="2" max="8" width="18.33203125" style="0" customWidth="1"/>
    <col min="9" max="12" width="16.66015625" style="0" customWidth="1"/>
    <col min="13" max="16" width="14.16015625" style="0" hidden="1" customWidth="1"/>
  </cols>
  <sheetData>
    <row r="1" spans="1:12" ht="54.75" customHeight="1">
      <c r="A1" s="60" t="s">
        <v>76</v>
      </c>
      <c r="B1" s="60"/>
      <c r="C1" s="60"/>
      <c r="D1" s="60"/>
      <c r="E1" s="60"/>
      <c r="F1" s="60"/>
      <c r="G1" s="60"/>
      <c r="H1" s="60"/>
      <c r="I1" s="60"/>
      <c r="J1" s="60"/>
      <c r="K1" s="60"/>
      <c r="L1" s="60"/>
    </row>
    <row r="2" spans="1:12" ht="15" customHeight="1">
      <c r="A2" s="61" t="s">
        <v>15</v>
      </c>
      <c r="B2" s="62"/>
      <c r="C2" s="62"/>
      <c r="D2" s="68" t="str">
        <f>'Stavební rozpočet'!C2</f>
        <v>ZÁKLADNÍ ŠKOLA</v>
      </c>
      <c r="E2" s="69"/>
      <c r="F2" s="69"/>
      <c r="G2" s="66" t="s">
        <v>2</v>
      </c>
      <c r="H2" s="66" t="str">
        <f>'Stavební rozpočet'!G2</f>
        <v> </v>
      </c>
      <c r="I2" s="66" t="s">
        <v>195</v>
      </c>
      <c r="J2" s="66" t="str">
        <f>'Stavební rozpočet'!I2</f>
        <v>MĚSTO ŠLUKNOV</v>
      </c>
      <c r="K2" s="62"/>
      <c r="L2" s="71"/>
    </row>
    <row r="3" spans="1:12" ht="15" customHeight="1">
      <c r="A3" s="63"/>
      <c r="B3" s="64"/>
      <c r="C3" s="64"/>
      <c r="D3" s="70"/>
      <c r="E3" s="70"/>
      <c r="F3" s="70"/>
      <c r="G3" s="64"/>
      <c r="H3" s="64"/>
      <c r="I3" s="64"/>
      <c r="J3" s="64"/>
      <c r="K3" s="64"/>
      <c r="L3" s="72"/>
    </row>
    <row r="4" spans="1:12" ht="15" customHeight="1">
      <c r="A4" s="65" t="s">
        <v>121</v>
      </c>
      <c r="B4" s="64"/>
      <c r="C4" s="64"/>
      <c r="D4" s="67" t="str">
        <f>'Stavební rozpočet'!C4</f>
        <v>VÝMĚNA OKEN DRUHÁ ETAPA</v>
      </c>
      <c r="E4" s="64"/>
      <c r="F4" s="64"/>
      <c r="G4" s="67" t="s">
        <v>205</v>
      </c>
      <c r="H4" s="67" t="str">
        <f>'Stavební rozpočet'!G4</f>
        <v> </v>
      </c>
      <c r="I4" s="67" t="s">
        <v>156</v>
      </c>
      <c r="J4" s="67" t="str">
        <f>'Stavební rozpočet'!I4</f>
        <v>VLASTNÍ</v>
      </c>
      <c r="K4" s="64"/>
      <c r="L4" s="72"/>
    </row>
    <row r="5" spans="1:12" ht="15" customHeight="1">
      <c r="A5" s="63"/>
      <c r="B5" s="64"/>
      <c r="C5" s="64"/>
      <c r="D5" s="64"/>
      <c r="E5" s="64"/>
      <c r="F5" s="64"/>
      <c r="G5" s="64"/>
      <c r="H5" s="64"/>
      <c r="I5" s="64"/>
      <c r="J5" s="64"/>
      <c r="K5" s="64"/>
      <c r="L5" s="72"/>
    </row>
    <row r="6" spans="1:12" ht="15" customHeight="1">
      <c r="A6" s="65" t="s">
        <v>21</v>
      </c>
      <c r="B6" s="64"/>
      <c r="C6" s="64"/>
      <c r="D6" s="67" t="str">
        <f>'Stavební rozpočet'!C6</f>
        <v>ŠLUKNOV VOHRADSKÉHO</v>
      </c>
      <c r="E6" s="64"/>
      <c r="F6" s="64"/>
      <c r="G6" s="67" t="s">
        <v>70</v>
      </c>
      <c r="H6" s="67" t="str">
        <f>'Stavební rozpočet'!G6</f>
        <v> </v>
      </c>
      <c r="I6" s="67" t="s">
        <v>202</v>
      </c>
      <c r="J6" s="67" t="str">
        <f>'Stavební rozpočet'!I6</f>
        <v>BUDE VYBRÁN</v>
      </c>
      <c r="K6" s="64"/>
      <c r="L6" s="72"/>
    </row>
    <row r="7" spans="1:12" ht="15" customHeight="1">
      <c r="A7" s="63"/>
      <c r="B7" s="64"/>
      <c r="C7" s="64"/>
      <c r="D7" s="64"/>
      <c r="E7" s="64"/>
      <c r="F7" s="64"/>
      <c r="G7" s="64"/>
      <c r="H7" s="64"/>
      <c r="I7" s="64"/>
      <c r="J7" s="64"/>
      <c r="K7" s="64"/>
      <c r="L7" s="72"/>
    </row>
    <row r="8" spans="1:12" ht="15" customHeight="1">
      <c r="A8" s="65" t="s">
        <v>109</v>
      </c>
      <c r="B8" s="64"/>
      <c r="C8" s="64"/>
      <c r="D8" s="67" t="str">
        <f>'Stavební rozpočet'!C8</f>
        <v> </v>
      </c>
      <c r="E8" s="64"/>
      <c r="F8" s="64"/>
      <c r="G8" s="67" t="s">
        <v>124</v>
      </c>
      <c r="H8" s="67" t="str">
        <f>'Stavební rozpočet'!G8</f>
        <v>19.12.2022</v>
      </c>
      <c r="I8" s="67" t="s">
        <v>146</v>
      </c>
      <c r="J8" s="67" t="str">
        <f>'Stavební rozpočet'!I8</f>
        <v>IIČVDF</v>
      </c>
      <c r="K8" s="64"/>
      <c r="L8" s="72"/>
    </row>
    <row r="9" spans="1:12" ht="15" customHeight="1">
      <c r="A9" s="63"/>
      <c r="B9" s="64"/>
      <c r="C9" s="64"/>
      <c r="D9" s="64"/>
      <c r="E9" s="64"/>
      <c r="F9" s="64"/>
      <c r="G9" s="64"/>
      <c r="H9" s="64"/>
      <c r="I9" s="64"/>
      <c r="J9" s="64"/>
      <c r="K9" s="64"/>
      <c r="L9" s="72"/>
    </row>
    <row r="10" spans="1:12" ht="15" customHeight="1">
      <c r="A10" s="52" t="s">
        <v>215</v>
      </c>
      <c r="B10" s="87" t="s">
        <v>215</v>
      </c>
      <c r="C10" s="87"/>
      <c r="D10" s="87"/>
      <c r="E10" s="87"/>
      <c r="F10" s="87"/>
      <c r="G10" s="87"/>
      <c r="H10" s="87"/>
      <c r="I10" s="77" t="s">
        <v>141</v>
      </c>
      <c r="J10" s="78"/>
      <c r="K10" s="79"/>
      <c r="L10" s="26" t="s">
        <v>37</v>
      </c>
    </row>
    <row r="11" spans="1:12" ht="15" customHeight="1">
      <c r="A11" s="57" t="s">
        <v>73</v>
      </c>
      <c r="B11" s="75" t="s">
        <v>245</v>
      </c>
      <c r="C11" s="75"/>
      <c r="D11" s="75"/>
      <c r="E11" s="75"/>
      <c r="F11" s="75"/>
      <c r="G11" s="75"/>
      <c r="H11" s="75"/>
      <c r="I11" s="20" t="s">
        <v>12</v>
      </c>
      <c r="J11" s="44" t="s">
        <v>44</v>
      </c>
      <c r="K11" s="17" t="s">
        <v>26</v>
      </c>
      <c r="L11" s="17" t="s">
        <v>26</v>
      </c>
    </row>
    <row r="12" spans="1:16" ht="15" customHeight="1">
      <c r="A12" s="21" t="s">
        <v>38</v>
      </c>
      <c r="B12" s="64" t="s">
        <v>137</v>
      </c>
      <c r="C12" s="64"/>
      <c r="D12" s="64"/>
      <c r="E12" s="64"/>
      <c r="F12" s="64"/>
      <c r="G12" s="64"/>
      <c r="H12" s="64"/>
      <c r="I12" s="2">
        <f>SUMIF('Stavební rozpočet'!AZ13:AZ81,"6_",'Stavební rozpočet'!AW13:AW81)</f>
        <v>0</v>
      </c>
      <c r="J12" s="2">
        <f>SUMIF('Stavební rozpočet'!AZ13:AZ81,"6_",'Stavební rozpočet'!AX13:AX81)</f>
        <v>0</v>
      </c>
      <c r="K12" s="2">
        <f>SUMIF('Stavební rozpočet'!AZ13:AZ81,"6_",'Stavební rozpočet'!AV13:AV81)</f>
        <v>0</v>
      </c>
      <c r="L12" s="4">
        <f>SUMIF('Stavební rozpočet'!AZ13:AZ81,"6_",'Stavební rozpočet'!BF13:BF81)</f>
        <v>11.384083500000001</v>
      </c>
      <c r="M12" s="34" t="s">
        <v>224</v>
      </c>
      <c r="N12" s="2">
        <f>IF(M12="F",0,K12)</f>
        <v>0</v>
      </c>
      <c r="O12" s="5" t="s">
        <v>158</v>
      </c>
      <c r="P12" s="2">
        <f>IF(M12="T",0,K12)</f>
        <v>0</v>
      </c>
    </row>
    <row r="13" spans="1:16" ht="15" customHeight="1">
      <c r="A13" s="21" t="s">
        <v>148</v>
      </c>
      <c r="B13" s="64" t="s">
        <v>53</v>
      </c>
      <c r="C13" s="64"/>
      <c r="D13" s="64"/>
      <c r="E13" s="64"/>
      <c r="F13" s="64"/>
      <c r="G13" s="64"/>
      <c r="H13" s="64"/>
      <c r="I13" s="2">
        <f>SUMIF('Stavební rozpočet'!AZ13:AZ81,"76_",'Stavební rozpočet'!AW13:AW81)</f>
        <v>0</v>
      </c>
      <c r="J13" s="2">
        <f>SUMIF('Stavební rozpočet'!AZ13:AZ81,"76_",'Stavební rozpočet'!AX13:AX81)</f>
        <v>0</v>
      </c>
      <c r="K13" s="2">
        <f>SUMIF('Stavební rozpočet'!AZ13:AZ81,"76_",'Stavební rozpočet'!AV13:AV81)</f>
        <v>0</v>
      </c>
      <c r="L13" s="4">
        <f>SUMIF('Stavební rozpočet'!AZ13:AZ81,"76_",'Stavební rozpočet'!BF13:BF81)</f>
        <v>0.35134200000000004</v>
      </c>
      <c r="M13" s="34" t="s">
        <v>224</v>
      </c>
      <c r="N13" s="2">
        <f>IF(M13="F",0,K13)</f>
        <v>0</v>
      </c>
      <c r="O13" s="5" t="s">
        <v>158</v>
      </c>
      <c r="P13" s="2">
        <f>IF(M13="T",0,K13)</f>
        <v>0</v>
      </c>
    </row>
    <row r="14" spans="1:16" ht="15" customHeight="1">
      <c r="A14" s="21" t="s">
        <v>50</v>
      </c>
      <c r="B14" s="64" t="s">
        <v>14</v>
      </c>
      <c r="C14" s="64"/>
      <c r="D14" s="64"/>
      <c r="E14" s="64"/>
      <c r="F14" s="64"/>
      <c r="G14" s="64"/>
      <c r="H14" s="64"/>
      <c r="I14" s="2">
        <f>SUMIF('Stavební rozpočet'!AZ13:AZ81,"78_",'Stavební rozpočet'!AW13:AW81)</f>
        <v>0</v>
      </c>
      <c r="J14" s="2">
        <f>SUMIF('Stavební rozpočet'!AZ13:AZ81,"78_",'Stavební rozpočet'!AX13:AX81)</f>
        <v>0</v>
      </c>
      <c r="K14" s="2">
        <f>SUMIF('Stavební rozpočet'!AZ13:AZ81,"78_",'Stavební rozpočet'!AV13:AV81)</f>
        <v>0</v>
      </c>
      <c r="L14" s="4">
        <f>SUMIF('Stavební rozpočet'!AZ13:AZ81,"78_",'Stavební rozpočet'!BF13:BF81)</f>
        <v>0.1856</v>
      </c>
      <c r="M14" s="34" t="s">
        <v>224</v>
      </c>
      <c r="N14" s="2">
        <f>IF(M14="F",0,K14)</f>
        <v>0</v>
      </c>
      <c r="O14" s="5" t="s">
        <v>158</v>
      </c>
      <c r="P14" s="2">
        <f>IF(M14="T",0,K14)</f>
        <v>0</v>
      </c>
    </row>
    <row r="15" spans="1:16" ht="15" customHeight="1">
      <c r="A15" s="21" t="s">
        <v>85</v>
      </c>
      <c r="B15" s="64" t="s">
        <v>219</v>
      </c>
      <c r="C15" s="64"/>
      <c r="D15" s="64"/>
      <c r="E15" s="64"/>
      <c r="F15" s="64"/>
      <c r="G15" s="64"/>
      <c r="H15" s="64"/>
      <c r="I15" s="2">
        <f>SUMIF('Stavební rozpočet'!AZ13:AZ81,"9_",'Stavební rozpočet'!AW13:AW81)</f>
        <v>0</v>
      </c>
      <c r="J15" s="2">
        <f>SUMIF('Stavební rozpočet'!AZ13:AZ81,"9_",'Stavební rozpočet'!AX13:AX81)</f>
        <v>0</v>
      </c>
      <c r="K15" s="2">
        <f>SUMIF('Stavební rozpočet'!AZ13:AZ81,"9_",'Stavební rozpočet'!AV13:AV81)</f>
        <v>0</v>
      </c>
      <c r="L15" s="4">
        <f>SUMIF('Stavební rozpočet'!AZ13:AZ81,"9_",'Stavební rozpočet'!BF13:BF81)</f>
        <v>13.178025000000002</v>
      </c>
      <c r="M15" s="34" t="s">
        <v>224</v>
      </c>
      <c r="N15" s="2">
        <f>IF(M15="F",0,K15)</f>
        <v>0</v>
      </c>
      <c r="O15" s="5" t="s">
        <v>158</v>
      </c>
      <c r="P15" s="2">
        <f>IF(M15="T",0,K15)</f>
        <v>0</v>
      </c>
    </row>
    <row r="16" spans="1:16" ht="15" customHeight="1">
      <c r="A16" s="45" t="s">
        <v>158</v>
      </c>
      <c r="B16" s="88" t="s">
        <v>16</v>
      </c>
      <c r="C16" s="88"/>
      <c r="D16" s="88"/>
      <c r="E16" s="88"/>
      <c r="F16" s="88"/>
      <c r="G16" s="88"/>
      <c r="H16" s="88"/>
      <c r="I16" s="19">
        <f>SUMIF('Stavební rozpočet'!AZ13:AZ81,"Z_",'Stavební rozpočet'!AW13:AW81)</f>
        <v>0</v>
      </c>
      <c r="J16" s="19">
        <f>SUMIF('Stavební rozpočet'!AZ13:AZ81,"Z_",'Stavební rozpočet'!AX13:AX81)</f>
        <v>0</v>
      </c>
      <c r="K16" s="19">
        <f>SUMIF('Stavební rozpočet'!AZ13:AZ81,"Z_",'Stavební rozpočet'!AV13:AV81)</f>
        <v>0</v>
      </c>
      <c r="L16" s="38">
        <f>SUMIF('Stavební rozpočet'!AZ13:AZ81,"Z_",'Stavební rozpočet'!BF13:BF81)</f>
        <v>2.457</v>
      </c>
      <c r="M16" s="34" t="s">
        <v>224</v>
      </c>
      <c r="N16" s="2">
        <f>IF(M16="F",0,K16)</f>
        <v>0</v>
      </c>
      <c r="O16" s="5" t="s">
        <v>158</v>
      </c>
      <c r="P16" s="2">
        <f>IF(M16="T",0,K16)</f>
        <v>0</v>
      </c>
    </row>
    <row r="17" spans="9:11" ht="15" customHeight="1">
      <c r="I17" s="70" t="s">
        <v>180</v>
      </c>
      <c r="J17" s="70"/>
      <c r="K17" s="18">
        <f>SUM(N12:N16)</f>
        <v>0</v>
      </c>
    </row>
    <row r="18" ht="15" customHeight="1">
      <c r="A18" s="47" t="s">
        <v>20</v>
      </c>
    </row>
    <row r="19" spans="1:12" ht="12.75" customHeight="1">
      <c r="A19" s="67" t="s">
        <v>158</v>
      </c>
      <c r="B19" s="64"/>
      <c r="C19" s="64"/>
      <c r="D19" s="64"/>
      <c r="E19" s="64"/>
      <c r="F19" s="64"/>
      <c r="G19" s="64"/>
      <c r="H19" s="64"/>
      <c r="I19" s="64"/>
      <c r="J19" s="64"/>
      <c r="K19" s="64"/>
      <c r="L19" s="64"/>
    </row>
  </sheetData>
  <sheetProtection/>
  <mergeCells count="35">
    <mergeCell ref="B15:H15"/>
    <mergeCell ref="B16:H16"/>
    <mergeCell ref="I17:J17"/>
    <mergeCell ref="A19:L19"/>
    <mergeCell ref="B10:H10"/>
    <mergeCell ref="B11:H11"/>
    <mergeCell ref="I10:K10"/>
    <mergeCell ref="B12:H12"/>
    <mergeCell ref="B13:H13"/>
    <mergeCell ref="B14:H14"/>
    <mergeCell ref="I2:I3"/>
    <mergeCell ref="I4:I5"/>
    <mergeCell ref="I6:I7"/>
    <mergeCell ref="I8:I9"/>
    <mergeCell ref="J2:L3"/>
    <mergeCell ref="J4:L5"/>
    <mergeCell ref="J6:L7"/>
    <mergeCell ref="J8:L9"/>
    <mergeCell ref="G4:G5"/>
    <mergeCell ref="G6:G7"/>
    <mergeCell ref="G8:G9"/>
    <mergeCell ref="H2:H3"/>
    <mergeCell ref="H4:H5"/>
    <mergeCell ref="H6:H7"/>
    <mergeCell ref="H8:H9"/>
    <mergeCell ref="A1:L1"/>
    <mergeCell ref="A2:C3"/>
    <mergeCell ref="A4:C5"/>
    <mergeCell ref="A6:C7"/>
    <mergeCell ref="A8:C9"/>
    <mergeCell ref="D2:F3"/>
    <mergeCell ref="D4:F5"/>
    <mergeCell ref="D6:F7"/>
    <mergeCell ref="D8:F9"/>
    <mergeCell ref="G2:G3"/>
  </mergeCells>
  <printOptions/>
  <pageMargins left="0.394" right="0.394" top="0.591" bottom="0.591" header="0" footer="0"/>
  <pageSetup firstPageNumber="0" useFirstPageNumber="1" fitToHeight="0" fitToWidth="1"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P25"/>
  <sheetViews>
    <sheetView showOutlineSymbols="0" zoomScalePageLayoutView="0" workbookViewId="0" topLeftCell="A1">
      <pane ySplit="11" topLeftCell="A12" activePane="bottomLeft" state="frozen"/>
      <selection pane="topLeft" activeCell="A25" sqref="A25:L25"/>
      <selection pane="bottomLeft" activeCell="A1" sqref="A1"/>
    </sheetView>
  </sheetViews>
  <sheetFormatPr defaultColWidth="14.16015625" defaultRowHeight="15" customHeight="1"/>
  <cols>
    <col min="1" max="1" width="6.66015625" style="0" customWidth="1"/>
    <col min="2" max="8" width="18.33203125" style="0" customWidth="1"/>
    <col min="9" max="12" width="16.66015625" style="0" customWidth="1"/>
    <col min="13" max="16" width="14.16015625" style="0" hidden="1" customWidth="1"/>
  </cols>
  <sheetData>
    <row r="1" spans="1:12" ht="54.75" customHeight="1">
      <c r="A1" s="60" t="s">
        <v>7</v>
      </c>
      <c r="B1" s="60"/>
      <c r="C1" s="60"/>
      <c r="D1" s="60"/>
      <c r="E1" s="60"/>
      <c r="F1" s="60"/>
      <c r="G1" s="60"/>
      <c r="H1" s="60"/>
      <c r="I1" s="60"/>
      <c r="J1" s="60"/>
      <c r="K1" s="60"/>
      <c r="L1" s="60"/>
    </row>
    <row r="2" spans="1:12" ht="15" customHeight="1">
      <c r="A2" s="61" t="s">
        <v>15</v>
      </c>
      <c r="B2" s="62"/>
      <c r="C2" s="62"/>
      <c r="D2" s="68" t="str">
        <f>'Stavební rozpočet'!C2</f>
        <v>ZÁKLADNÍ ŠKOLA</v>
      </c>
      <c r="E2" s="69"/>
      <c r="F2" s="69"/>
      <c r="G2" s="66" t="s">
        <v>2</v>
      </c>
      <c r="H2" s="66" t="str">
        <f>'Stavební rozpočet'!G2</f>
        <v> </v>
      </c>
      <c r="I2" s="66" t="s">
        <v>195</v>
      </c>
      <c r="J2" s="66" t="str">
        <f>'Stavební rozpočet'!I2</f>
        <v>MĚSTO ŠLUKNOV</v>
      </c>
      <c r="K2" s="62"/>
      <c r="L2" s="71"/>
    </row>
    <row r="3" spans="1:12" ht="15" customHeight="1">
      <c r="A3" s="63"/>
      <c r="B3" s="64"/>
      <c r="C3" s="64"/>
      <c r="D3" s="70"/>
      <c r="E3" s="70"/>
      <c r="F3" s="70"/>
      <c r="G3" s="64"/>
      <c r="H3" s="64"/>
      <c r="I3" s="64"/>
      <c r="J3" s="64"/>
      <c r="K3" s="64"/>
      <c r="L3" s="72"/>
    </row>
    <row r="4" spans="1:12" ht="15" customHeight="1">
      <c r="A4" s="65" t="s">
        <v>121</v>
      </c>
      <c r="B4" s="64"/>
      <c r="C4" s="64"/>
      <c r="D4" s="67" t="str">
        <f>'Stavební rozpočet'!C4</f>
        <v>VÝMĚNA OKEN DRUHÁ ETAPA</v>
      </c>
      <c r="E4" s="64"/>
      <c r="F4" s="64"/>
      <c r="G4" s="67" t="s">
        <v>205</v>
      </c>
      <c r="H4" s="67" t="str">
        <f>'Stavební rozpočet'!G4</f>
        <v> </v>
      </c>
      <c r="I4" s="67" t="s">
        <v>156</v>
      </c>
      <c r="J4" s="67" t="str">
        <f>'Stavební rozpočet'!I4</f>
        <v>VLASTNÍ</v>
      </c>
      <c r="K4" s="64"/>
      <c r="L4" s="72"/>
    </row>
    <row r="5" spans="1:12" ht="15" customHeight="1">
      <c r="A5" s="63"/>
      <c r="B5" s="64"/>
      <c r="C5" s="64"/>
      <c r="D5" s="64"/>
      <c r="E5" s="64"/>
      <c r="F5" s="64"/>
      <c r="G5" s="64"/>
      <c r="H5" s="64"/>
      <c r="I5" s="64"/>
      <c r="J5" s="64"/>
      <c r="K5" s="64"/>
      <c r="L5" s="72"/>
    </row>
    <row r="6" spans="1:12" ht="15" customHeight="1">
      <c r="A6" s="65" t="s">
        <v>21</v>
      </c>
      <c r="B6" s="64"/>
      <c r="C6" s="64"/>
      <c r="D6" s="67" t="str">
        <f>'Stavební rozpočet'!C6</f>
        <v>ŠLUKNOV VOHRADSKÉHO</v>
      </c>
      <c r="E6" s="64"/>
      <c r="F6" s="64"/>
      <c r="G6" s="67" t="s">
        <v>70</v>
      </c>
      <c r="H6" s="67" t="str">
        <f>'Stavební rozpočet'!G6</f>
        <v> </v>
      </c>
      <c r="I6" s="67" t="s">
        <v>202</v>
      </c>
      <c r="J6" s="67" t="str">
        <f>'Stavební rozpočet'!I6</f>
        <v>BUDE VYBRÁN</v>
      </c>
      <c r="K6" s="64"/>
      <c r="L6" s="72"/>
    </row>
    <row r="7" spans="1:12" ht="15" customHeight="1">
      <c r="A7" s="63"/>
      <c r="B7" s="64"/>
      <c r="C7" s="64"/>
      <c r="D7" s="64"/>
      <c r="E7" s="64"/>
      <c r="F7" s="64"/>
      <c r="G7" s="64"/>
      <c r="H7" s="64"/>
      <c r="I7" s="64"/>
      <c r="J7" s="64"/>
      <c r="K7" s="64"/>
      <c r="L7" s="72"/>
    </row>
    <row r="8" spans="1:12" ht="15" customHeight="1">
      <c r="A8" s="65" t="s">
        <v>109</v>
      </c>
      <c r="B8" s="64"/>
      <c r="C8" s="64"/>
      <c r="D8" s="67" t="str">
        <f>'Stavební rozpočet'!C8</f>
        <v> </v>
      </c>
      <c r="E8" s="64"/>
      <c r="F8" s="64"/>
      <c r="G8" s="67" t="s">
        <v>124</v>
      </c>
      <c r="H8" s="67" t="str">
        <f>'Stavební rozpočet'!G8</f>
        <v>19.12.2022</v>
      </c>
      <c r="I8" s="67" t="s">
        <v>146</v>
      </c>
      <c r="J8" s="67" t="str">
        <f>'Stavební rozpočet'!I8</f>
        <v>IIČVDF</v>
      </c>
      <c r="K8" s="64"/>
      <c r="L8" s="72"/>
    </row>
    <row r="9" spans="1:12" ht="15" customHeight="1">
      <c r="A9" s="63"/>
      <c r="B9" s="64"/>
      <c r="C9" s="64"/>
      <c r="D9" s="64"/>
      <c r="E9" s="64"/>
      <c r="F9" s="64"/>
      <c r="G9" s="64"/>
      <c r="H9" s="64"/>
      <c r="I9" s="64"/>
      <c r="J9" s="64"/>
      <c r="K9" s="64"/>
      <c r="L9" s="72"/>
    </row>
    <row r="10" spans="1:12" ht="15" customHeight="1">
      <c r="A10" s="52" t="s">
        <v>215</v>
      </c>
      <c r="B10" s="87" t="s">
        <v>215</v>
      </c>
      <c r="C10" s="87"/>
      <c r="D10" s="87"/>
      <c r="E10" s="87"/>
      <c r="F10" s="87"/>
      <c r="G10" s="87"/>
      <c r="H10" s="87"/>
      <c r="I10" s="77" t="s">
        <v>141</v>
      </c>
      <c r="J10" s="78"/>
      <c r="K10" s="79"/>
      <c r="L10" s="26" t="s">
        <v>37</v>
      </c>
    </row>
    <row r="11" spans="1:12" ht="15" customHeight="1">
      <c r="A11" s="57" t="s">
        <v>73</v>
      </c>
      <c r="B11" s="75" t="s">
        <v>245</v>
      </c>
      <c r="C11" s="75"/>
      <c r="D11" s="75"/>
      <c r="E11" s="75"/>
      <c r="F11" s="75"/>
      <c r="G11" s="75"/>
      <c r="H11" s="75"/>
      <c r="I11" s="20" t="s">
        <v>12</v>
      </c>
      <c r="J11" s="44" t="s">
        <v>44</v>
      </c>
      <c r="K11" s="17" t="s">
        <v>26</v>
      </c>
      <c r="L11" s="17" t="s">
        <v>26</v>
      </c>
    </row>
    <row r="12" spans="1:16" ht="15" customHeight="1">
      <c r="A12" s="21" t="s">
        <v>168</v>
      </c>
      <c r="B12" s="64" t="s">
        <v>164</v>
      </c>
      <c r="C12" s="64"/>
      <c r="D12" s="64"/>
      <c r="E12" s="64"/>
      <c r="F12" s="64"/>
      <c r="G12" s="64"/>
      <c r="H12" s="64"/>
      <c r="I12" s="2">
        <f>'Stavební rozpočet'!H12</f>
        <v>0</v>
      </c>
      <c r="J12" s="2">
        <f>'Stavební rozpočet'!I12</f>
        <v>0</v>
      </c>
      <c r="K12" s="2">
        <f>'Stavební rozpočet'!J12</f>
        <v>0</v>
      </c>
      <c r="L12" s="4">
        <f>'Stavební rozpočet'!L12</f>
        <v>6.0879435</v>
      </c>
      <c r="M12" s="34" t="s">
        <v>224</v>
      </c>
      <c r="N12" s="2">
        <f aca="true" t="shared" si="0" ref="N12:N22">IF(M12="F",0,K12)</f>
        <v>0</v>
      </c>
      <c r="O12" s="5" t="s">
        <v>158</v>
      </c>
      <c r="P12" s="2">
        <f aca="true" t="shared" si="1" ref="P12:P22">IF(M12="T",0,K12)</f>
        <v>0</v>
      </c>
    </row>
    <row r="13" spans="1:16" ht="15" customHeight="1">
      <c r="A13" s="21" t="s">
        <v>247</v>
      </c>
      <c r="B13" s="64" t="s">
        <v>214</v>
      </c>
      <c r="C13" s="64"/>
      <c r="D13" s="64"/>
      <c r="E13" s="64"/>
      <c r="F13" s="64"/>
      <c r="G13" s="64"/>
      <c r="H13" s="64"/>
      <c r="I13" s="2">
        <f>'Stavební rozpočet'!H19</f>
        <v>0</v>
      </c>
      <c r="J13" s="2">
        <f>'Stavební rozpočet'!I19</f>
        <v>0</v>
      </c>
      <c r="K13" s="2">
        <f>'Stavební rozpočet'!J19</f>
        <v>0</v>
      </c>
      <c r="L13" s="4">
        <f>'Stavební rozpočet'!L19</f>
        <v>0.11699999999999999</v>
      </c>
      <c r="M13" s="34" t="s">
        <v>224</v>
      </c>
      <c r="N13" s="2">
        <f t="shared" si="0"/>
        <v>0</v>
      </c>
      <c r="O13" s="5" t="s">
        <v>158</v>
      </c>
      <c r="P13" s="2">
        <f t="shared" si="1"/>
        <v>0</v>
      </c>
    </row>
    <row r="14" spans="1:16" ht="15" customHeight="1">
      <c r="A14" s="21" t="s">
        <v>52</v>
      </c>
      <c r="B14" s="64" t="s">
        <v>235</v>
      </c>
      <c r="C14" s="64"/>
      <c r="D14" s="64"/>
      <c r="E14" s="64"/>
      <c r="F14" s="64"/>
      <c r="G14" s="64"/>
      <c r="H14" s="64"/>
      <c r="I14" s="2">
        <f>'Stavební rozpočet'!H24</f>
        <v>0</v>
      </c>
      <c r="J14" s="2">
        <f>'Stavební rozpočet'!I24</f>
        <v>0</v>
      </c>
      <c r="K14" s="2">
        <f>'Stavební rozpočet'!J24</f>
        <v>0</v>
      </c>
      <c r="L14" s="4">
        <f>'Stavební rozpočet'!L24</f>
        <v>2.8313</v>
      </c>
      <c r="M14" s="34" t="s">
        <v>224</v>
      </c>
      <c r="N14" s="2">
        <f t="shared" si="0"/>
        <v>0</v>
      </c>
      <c r="O14" s="5" t="s">
        <v>158</v>
      </c>
      <c r="P14" s="2">
        <f t="shared" si="1"/>
        <v>0</v>
      </c>
    </row>
    <row r="15" spans="1:16" ht="15" customHeight="1">
      <c r="A15" s="21" t="s">
        <v>111</v>
      </c>
      <c r="B15" s="64" t="s">
        <v>239</v>
      </c>
      <c r="C15" s="64"/>
      <c r="D15" s="64"/>
      <c r="E15" s="64"/>
      <c r="F15" s="64"/>
      <c r="G15" s="64"/>
      <c r="H15" s="64"/>
      <c r="I15" s="2">
        <f>'Stavební rozpočet'!H27</f>
        <v>0</v>
      </c>
      <c r="J15" s="2">
        <f>'Stavební rozpočet'!I27</f>
        <v>0</v>
      </c>
      <c r="K15" s="2">
        <f>'Stavební rozpočet'!J27</f>
        <v>0</v>
      </c>
      <c r="L15" s="4">
        <f>'Stavební rozpočet'!L27</f>
        <v>2.34784</v>
      </c>
      <c r="M15" s="34" t="s">
        <v>224</v>
      </c>
      <c r="N15" s="2">
        <f t="shared" si="0"/>
        <v>0</v>
      </c>
      <c r="O15" s="5" t="s">
        <v>158</v>
      </c>
      <c r="P15" s="2">
        <f t="shared" si="1"/>
        <v>0</v>
      </c>
    </row>
    <row r="16" spans="1:16" ht="15" customHeight="1">
      <c r="A16" s="21" t="s">
        <v>19</v>
      </c>
      <c r="B16" s="64" t="s">
        <v>35</v>
      </c>
      <c r="C16" s="64"/>
      <c r="D16" s="64"/>
      <c r="E16" s="64"/>
      <c r="F16" s="64"/>
      <c r="G16" s="64"/>
      <c r="H16" s="64"/>
      <c r="I16" s="2">
        <f>'Stavební rozpočet'!H31</f>
        <v>0</v>
      </c>
      <c r="J16" s="2">
        <f>'Stavební rozpočet'!I31</f>
        <v>0</v>
      </c>
      <c r="K16" s="2">
        <f>'Stavební rozpočet'!J31</f>
        <v>0</v>
      </c>
      <c r="L16" s="4">
        <f>'Stavební rozpočet'!L31</f>
        <v>0.063414</v>
      </c>
      <c r="M16" s="34" t="s">
        <v>224</v>
      </c>
      <c r="N16" s="2">
        <f t="shared" si="0"/>
        <v>0</v>
      </c>
      <c r="O16" s="5" t="s">
        <v>158</v>
      </c>
      <c r="P16" s="2">
        <f t="shared" si="1"/>
        <v>0</v>
      </c>
    </row>
    <row r="17" spans="1:16" ht="15" customHeight="1">
      <c r="A17" s="21" t="s">
        <v>96</v>
      </c>
      <c r="B17" s="64" t="s">
        <v>106</v>
      </c>
      <c r="C17" s="64"/>
      <c r="D17" s="64"/>
      <c r="E17" s="64"/>
      <c r="F17" s="64"/>
      <c r="G17" s="64"/>
      <c r="H17" s="64"/>
      <c r="I17" s="2">
        <f>'Stavební rozpočet'!H34</f>
        <v>0</v>
      </c>
      <c r="J17" s="2">
        <f>'Stavební rozpočet'!I34</f>
        <v>0</v>
      </c>
      <c r="K17" s="2">
        <f>'Stavební rozpočet'!J34</f>
        <v>0</v>
      </c>
      <c r="L17" s="4">
        <f>'Stavební rozpočet'!L34</f>
        <v>0.287928</v>
      </c>
      <c r="M17" s="34" t="s">
        <v>224</v>
      </c>
      <c r="N17" s="2">
        <f t="shared" si="0"/>
        <v>0</v>
      </c>
      <c r="O17" s="5" t="s">
        <v>158</v>
      </c>
      <c r="P17" s="2">
        <f t="shared" si="1"/>
        <v>0</v>
      </c>
    </row>
    <row r="18" spans="1:16" ht="15" customHeight="1">
      <c r="A18" s="21" t="s">
        <v>122</v>
      </c>
      <c r="B18" s="64" t="s">
        <v>6</v>
      </c>
      <c r="C18" s="64"/>
      <c r="D18" s="64"/>
      <c r="E18" s="64"/>
      <c r="F18" s="64"/>
      <c r="G18" s="64"/>
      <c r="H18" s="64"/>
      <c r="I18" s="2">
        <f>'Stavební rozpočet'!H37</f>
        <v>0</v>
      </c>
      <c r="J18" s="2">
        <f>'Stavební rozpočet'!I37</f>
        <v>0</v>
      </c>
      <c r="K18" s="2">
        <f>'Stavební rozpočet'!J37</f>
        <v>0</v>
      </c>
      <c r="L18" s="4">
        <f>'Stavební rozpočet'!L37</f>
        <v>0.1856</v>
      </c>
      <c r="M18" s="34" t="s">
        <v>224</v>
      </c>
      <c r="N18" s="2">
        <f t="shared" si="0"/>
        <v>0</v>
      </c>
      <c r="O18" s="5" t="s">
        <v>158</v>
      </c>
      <c r="P18" s="2">
        <f t="shared" si="1"/>
        <v>0</v>
      </c>
    </row>
    <row r="19" spans="1:16" ht="15" customHeight="1">
      <c r="A19" s="21" t="s">
        <v>123</v>
      </c>
      <c r="B19" s="64" t="s">
        <v>171</v>
      </c>
      <c r="C19" s="64"/>
      <c r="D19" s="64"/>
      <c r="E19" s="64"/>
      <c r="F19" s="64"/>
      <c r="G19" s="64"/>
      <c r="H19" s="64"/>
      <c r="I19" s="2">
        <f>'Stavební rozpočet'!H44</f>
        <v>0</v>
      </c>
      <c r="J19" s="2">
        <f>'Stavební rozpočet'!I44</f>
        <v>0</v>
      </c>
      <c r="K19" s="2">
        <f>'Stavební rozpočet'!J44</f>
        <v>0</v>
      </c>
      <c r="L19" s="4">
        <f>'Stavební rozpočet'!L44</f>
        <v>13.178025000000002</v>
      </c>
      <c r="M19" s="34" t="s">
        <v>224</v>
      </c>
      <c r="N19" s="2">
        <f t="shared" si="0"/>
        <v>0</v>
      </c>
      <c r="O19" s="5" t="s">
        <v>158</v>
      </c>
      <c r="P19" s="2">
        <f t="shared" si="1"/>
        <v>0</v>
      </c>
    </row>
    <row r="20" spans="1:16" ht="15" customHeight="1">
      <c r="A20" s="21" t="s">
        <v>144</v>
      </c>
      <c r="B20" s="64" t="s">
        <v>133</v>
      </c>
      <c r="C20" s="64"/>
      <c r="D20" s="64"/>
      <c r="E20" s="64"/>
      <c r="F20" s="64"/>
      <c r="G20" s="64"/>
      <c r="H20" s="64"/>
      <c r="I20" s="2">
        <f>'Stavební rozpočet'!H55</f>
        <v>0</v>
      </c>
      <c r="J20" s="2">
        <f>'Stavební rozpočet'!I55</f>
        <v>0</v>
      </c>
      <c r="K20" s="2">
        <f>'Stavební rozpočet'!J55</f>
        <v>0</v>
      </c>
      <c r="L20" s="4">
        <f>'Stavební rozpočet'!L55</f>
        <v>0</v>
      </c>
      <c r="M20" s="34" t="s">
        <v>224</v>
      </c>
      <c r="N20" s="2">
        <f t="shared" si="0"/>
        <v>0</v>
      </c>
      <c r="O20" s="5" t="s">
        <v>158</v>
      </c>
      <c r="P20" s="2">
        <f t="shared" si="1"/>
        <v>0</v>
      </c>
    </row>
    <row r="21" spans="1:16" ht="15" customHeight="1">
      <c r="A21" s="21" t="s">
        <v>74</v>
      </c>
      <c r="B21" s="64" t="s">
        <v>98</v>
      </c>
      <c r="C21" s="64"/>
      <c r="D21" s="64"/>
      <c r="E21" s="64"/>
      <c r="F21" s="64"/>
      <c r="G21" s="64"/>
      <c r="H21" s="64"/>
      <c r="I21" s="2">
        <f>'Stavební rozpočet'!H58</f>
        <v>0</v>
      </c>
      <c r="J21" s="2">
        <f>'Stavební rozpočet'!I58</f>
        <v>0</v>
      </c>
      <c r="K21" s="2">
        <f>'Stavební rozpočet'!J58</f>
        <v>0</v>
      </c>
      <c r="L21" s="4">
        <f>'Stavební rozpočet'!L58</f>
        <v>0</v>
      </c>
      <c r="M21" s="34" t="s">
        <v>224</v>
      </c>
      <c r="N21" s="2">
        <f t="shared" si="0"/>
        <v>0</v>
      </c>
      <c r="O21" s="5" t="s">
        <v>158</v>
      </c>
      <c r="P21" s="2">
        <f t="shared" si="1"/>
        <v>0</v>
      </c>
    </row>
    <row r="22" spans="1:16" ht="15" customHeight="1">
      <c r="A22" s="45" t="s">
        <v>158</v>
      </c>
      <c r="B22" s="88" t="s">
        <v>16</v>
      </c>
      <c r="C22" s="88"/>
      <c r="D22" s="88"/>
      <c r="E22" s="88"/>
      <c r="F22" s="88"/>
      <c r="G22" s="88"/>
      <c r="H22" s="88"/>
      <c r="I22" s="19">
        <f>'Stavební rozpočet'!H72</f>
        <v>0</v>
      </c>
      <c r="J22" s="19">
        <f>'Stavební rozpočet'!I72</f>
        <v>0</v>
      </c>
      <c r="K22" s="19">
        <f>'Stavební rozpočet'!J72</f>
        <v>0</v>
      </c>
      <c r="L22" s="38">
        <f>'Stavební rozpočet'!L72</f>
        <v>2.457</v>
      </c>
      <c r="M22" s="34" t="s">
        <v>224</v>
      </c>
      <c r="N22" s="2">
        <f t="shared" si="0"/>
        <v>0</v>
      </c>
      <c r="O22" s="5" t="s">
        <v>158</v>
      </c>
      <c r="P22" s="2">
        <f t="shared" si="1"/>
        <v>0</v>
      </c>
    </row>
    <row r="23" spans="9:11" ht="15" customHeight="1">
      <c r="I23" s="70" t="s">
        <v>180</v>
      </c>
      <c r="J23" s="70"/>
      <c r="K23" s="18">
        <f>SUM(N12:N22)</f>
        <v>0</v>
      </c>
    </row>
    <row r="24" ht="15" customHeight="1">
      <c r="A24" s="47" t="s">
        <v>20</v>
      </c>
    </row>
    <row r="25" spans="1:12" ht="12.75" customHeight="1">
      <c r="A25" s="67" t="s">
        <v>158</v>
      </c>
      <c r="B25" s="64"/>
      <c r="C25" s="64"/>
      <c r="D25" s="64"/>
      <c r="E25" s="64"/>
      <c r="F25" s="64"/>
      <c r="G25" s="64"/>
      <c r="H25" s="64"/>
      <c r="I25" s="64"/>
      <c r="J25" s="64"/>
      <c r="K25" s="64"/>
      <c r="L25" s="64"/>
    </row>
  </sheetData>
  <sheetProtection/>
  <mergeCells count="41">
    <mergeCell ref="B21:H21"/>
    <mergeCell ref="B22:H22"/>
    <mergeCell ref="I23:J23"/>
    <mergeCell ref="A25:L25"/>
    <mergeCell ref="B15:H15"/>
    <mergeCell ref="B16:H16"/>
    <mergeCell ref="B17:H17"/>
    <mergeCell ref="B18:H18"/>
    <mergeCell ref="B19:H19"/>
    <mergeCell ref="B20:H20"/>
    <mergeCell ref="B10:H10"/>
    <mergeCell ref="B11:H11"/>
    <mergeCell ref="I10:K10"/>
    <mergeCell ref="B12:H12"/>
    <mergeCell ref="B13:H13"/>
    <mergeCell ref="B14:H14"/>
    <mergeCell ref="I2:I3"/>
    <mergeCell ref="I4:I5"/>
    <mergeCell ref="I6:I7"/>
    <mergeCell ref="I8:I9"/>
    <mergeCell ref="J2:L3"/>
    <mergeCell ref="J4:L5"/>
    <mergeCell ref="J6:L7"/>
    <mergeCell ref="J8:L9"/>
    <mergeCell ref="G4:G5"/>
    <mergeCell ref="G6:G7"/>
    <mergeCell ref="G8:G9"/>
    <mergeCell ref="H2:H3"/>
    <mergeCell ref="H4:H5"/>
    <mergeCell ref="H6:H7"/>
    <mergeCell ref="H8:H9"/>
    <mergeCell ref="A1:L1"/>
    <mergeCell ref="A2:C3"/>
    <mergeCell ref="A4:C5"/>
    <mergeCell ref="A6:C7"/>
    <mergeCell ref="A8:C9"/>
    <mergeCell ref="D2:F3"/>
    <mergeCell ref="D4:F5"/>
    <mergeCell ref="D6:F7"/>
    <mergeCell ref="D8:F9"/>
    <mergeCell ref="G2:G3"/>
  </mergeCells>
  <printOptions/>
  <pageMargins left="0.394" right="0.394" top="0.591" bottom="0.591" header="0" footer="0"/>
  <pageSetup firstPageNumber="0" useFirstPageNumber="1" fitToHeight="0" fitToWidth="1"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showOutlineSymbols="0" zoomScalePageLayoutView="0" workbookViewId="0" topLeftCell="A1">
      <selection activeCell="A37" sqref="A37:I37"/>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89" t="s">
        <v>51</v>
      </c>
      <c r="B1" s="60"/>
      <c r="C1" s="60"/>
      <c r="D1" s="60"/>
      <c r="E1" s="60"/>
      <c r="F1" s="60"/>
      <c r="G1" s="60"/>
      <c r="H1" s="60"/>
      <c r="I1" s="60"/>
    </row>
    <row r="2" spans="1:9" ht="15" customHeight="1">
      <c r="A2" s="61" t="s">
        <v>15</v>
      </c>
      <c r="B2" s="62"/>
      <c r="C2" s="68" t="str">
        <f>'Stavební rozpočet'!C2</f>
        <v>ZÁKLADNÍ ŠKOLA</v>
      </c>
      <c r="D2" s="69"/>
      <c r="E2" s="66" t="s">
        <v>195</v>
      </c>
      <c r="F2" s="66" t="str">
        <f>'Stavební rozpočet'!I2</f>
        <v>MĚSTO ŠLUKNOV</v>
      </c>
      <c r="G2" s="62"/>
      <c r="H2" s="66" t="s">
        <v>143</v>
      </c>
      <c r="I2" s="71" t="s">
        <v>158</v>
      </c>
    </row>
    <row r="3" spans="1:9" ht="15" customHeight="1">
      <c r="A3" s="63"/>
      <c r="B3" s="64"/>
      <c r="C3" s="70"/>
      <c r="D3" s="70"/>
      <c r="E3" s="64"/>
      <c r="F3" s="64"/>
      <c r="G3" s="64"/>
      <c r="H3" s="64"/>
      <c r="I3" s="72"/>
    </row>
    <row r="4" spans="1:9" ht="15" customHeight="1">
      <c r="A4" s="65" t="s">
        <v>121</v>
      </c>
      <c r="B4" s="64"/>
      <c r="C4" s="67" t="str">
        <f>'Stavební rozpočet'!C4</f>
        <v>VÝMĚNA OKEN DRUHÁ ETAPA</v>
      </c>
      <c r="D4" s="64"/>
      <c r="E4" s="67" t="s">
        <v>156</v>
      </c>
      <c r="F4" s="67" t="str">
        <f>'Stavební rozpočet'!I4</f>
        <v>VLASTNÍ</v>
      </c>
      <c r="G4" s="64"/>
      <c r="H4" s="67" t="s">
        <v>143</v>
      </c>
      <c r="I4" s="72" t="s">
        <v>158</v>
      </c>
    </row>
    <row r="5" spans="1:9" ht="15" customHeight="1">
      <c r="A5" s="63"/>
      <c r="B5" s="64"/>
      <c r="C5" s="64"/>
      <c r="D5" s="64"/>
      <c r="E5" s="64"/>
      <c r="F5" s="64"/>
      <c r="G5" s="64"/>
      <c r="H5" s="64"/>
      <c r="I5" s="72"/>
    </row>
    <row r="6" spans="1:9" ht="15" customHeight="1">
      <c r="A6" s="65" t="s">
        <v>21</v>
      </c>
      <c r="B6" s="64"/>
      <c r="C6" s="67" t="str">
        <f>'Stavební rozpočet'!C6</f>
        <v>ŠLUKNOV VOHRADSKÉHO</v>
      </c>
      <c r="D6" s="64"/>
      <c r="E6" s="67" t="s">
        <v>202</v>
      </c>
      <c r="F6" s="67" t="str">
        <f>'Stavební rozpočet'!I6</f>
        <v>BUDE VYBRÁN</v>
      </c>
      <c r="G6" s="64"/>
      <c r="H6" s="67" t="s">
        <v>143</v>
      </c>
      <c r="I6" s="72" t="s">
        <v>158</v>
      </c>
    </row>
    <row r="7" spans="1:9" ht="15" customHeight="1">
      <c r="A7" s="63"/>
      <c r="B7" s="64"/>
      <c r="C7" s="64"/>
      <c r="D7" s="64"/>
      <c r="E7" s="64"/>
      <c r="F7" s="64"/>
      <c r="G7" s="64"/>
      <c r="H7" s="64"/>
      <c r="I7" s="72"/>
    </row>
    <row r="8" spans="1:9" ht="15" customHeight="1">
      <c r="A8" s="65" t="s">
        <v>205</v>
      </c>
      <c r="B8" s="64"/>
      <c r="C8" s="67" t="str">
        <f>'Stavební rozpočet'!G4</f>
        <v> </v>
      </c>
      <c r="D8" s="64"/>
      <c r="E8" s="67" t="s">
        <v>70</v>
      </c>
      <c r="F8" s="67" t="str">
        <f>'Stavební rozpočet'!G6</f>
        <v> </v>
      </c>
      <c r="G8" s="64"/>
      <c r="H8" s="64" t="s">
        <v>233</v>
      </c>
      <c r="I8" s="91">
        <v>21</v>
      </c>
    </row>
    <row r="9" spans="1:9" ht="15" customHeight="1">
      <c r="A9" s="63"/>
      <c r="B9" s="64"/>
      <c r="C9" s="64"/>
      <c r="D9" s="64"/>
      <c r="E9" s="64"/>
      <c r="F9" s="64"/>
      <c r="G9" s="64"/>
      <c r="H9" s="64"/>
      <c r="I9" s="72"/>
    </row>
    <row r="10" spans="1:9" ht="15" customHeight="1">
      <c r="A10" s="65" t="s">
        <v>109</v>
      </c>
      <c r="B10" s="64"/>
      <c r="C10" s="67" t="str">
        <f>'Stavební rozpočet'!C8</f>
        <v> </v>
      </c>
      <c r="D10" s="64"/>
      <c r="E10" s="67" t="s">
        <v>146</v>
      </c>
      <c r="F10" s="67" t="str">
        <f>'Stavební rozpočet'!I8</f>
        <v>IIČVDF</v>
      </c>
      <c r="G10" s="64"/>
      <c r="H10" s="64" t="s">
        <v>225</v>
      </c>
      <c r="I10" s="92" t="str">
        <f>'Stavební rozpočet'!G8</f>
        <v>19.12.2022</v>
      </c>
    </row>
    <row r="11" spans="1:9" ht="15" customHeight="1">
      <c r="A11" s="90"/>
      <c r="B11" s="88"/>
      <c r="C11" s="88"/>
      <c r="D11" s="88"/>
      <c r="E11" s="88"/>
      <c r="F11" s="88"/>
      <c r="G11" s="88"/>
      <c r="H11" s="88"/>
      <c r="I11" s="93"/>
    </row>
    <row r="12" spans="1:9" ht="22.5" customHeight="1">
      <c r="A12" s="94" t="s">
        <v>40</v>
      </c>
      <c r="B12" s="94"/>
      <c r="C12" s="94"/>
      <c r="D12" s="94"/>
      <c r="E12" s="94"/>
      <c r="F12" s="94"/>
      <c r="G12" s="94"/>
      <c r="H12" s="94"/>
      <c r="I12" s="94"/>
    </row>
    <row r="13" spans="1:9" ht="26.25" customHeight="1">
      <c r="A13" s="25" t="s">
        <v>206</v>
      </c>
      <c r="B13" s="95" t="s">
        <v>32</v>
      </c>
      <c r="C13" s="96"/>
      <c r="D13" s="9" t="s">
        <v>41</v>
      </c>
      <c r="E13" s="95" t="s">
        <v>81</v>
      </c>
      <c r="F13" s="96"/>
      <c r="G13" s="9" t="s">
        <v>140</v>
      </c>
      <c r="H13" s="95" t="s">
        <v>42</v>
      </c>
      <c r="I13" s="96"/>
    </row>
    <row r="14" spans="1:9" ht="15" customHeight="1">
      <c r="A14" s="14" t="s">
        <v>84</v>
      </c>
      <c r="B14" s="39" t="s">
        <v>56</v>
      </c>
      <c r="C14" s="23">
        <f>SUM('Stavební rozpočet'!AB12:AB81)</f>
        <v>0</v>
      </c>
      <c r="D14" s="103" t="s">
        <v>165</v>
      </c>
      <c r="E14" s="104"/>
      <c r="F14" s="23">
        <v>0</v>
      </c>
      <c r="G14" s="103" t="s">
        <v>27</v>
      </c>
      <c r="H14" s="104"/>
      <c r="I14" s="11" t="s">
        <v>115</v>
      </c>
    </row>
    <row r="15" spans="1:9" ht="15" customHeight="1">
      <c r="A15" s="16" t="s">
        <v>158</v>
      </c>
      <c r="B15" s="39" t="s">
        <v>44</v>
      </c>
      <c r="C15" s="23">
        <f>SUM('Stavební rozpočet'!AC12:AC81)</f>
        <v>0</v>
      </c>
      <c r="D15" s="103" t="s">
        <v>25</v>
      </c>
      <c r="E15" s="104"/>
      <c r="F15" s="23">
        <v>0</v>
      </c>
      <c r="G15" s="103" t="s">
        <v>181</v>
      </c>
      <c r="H15" s="104"/>
      <c r="I15" s="11" t="s">
        <v>115</v>
      </c>
    </row>
    <row r="16" spans="1:9" ht="15" customHeight="1">
      <c r="A16" s="14" t="s">
        <v>23</v>
      </c>
      <c r="B16" s="39" t="s">
        <v>56</v>
      </c>
      <c r="C16" s="23">
        <f>SUM('Stavební rozpočet'!AD12:AD81)</f>
        <v>0</v>
      </c>
      <c r="D16" s="103" t="s">
        <v>170</v>
      </c>
      <c r="E16" s="104"/>
      <c r="F16" s="23">
        <v>0</v>
      </c>
      <c r="G16" s="103" t="s">
        <v>223</v>
      </c>
      <c r="H16" s="104"/>
      <c r="I16" s="11" t="s">
        <v>115</v>
      </c>
    </row>
    <row r="17" spans="1:9" ht="15" customHeight="1">
      <c r="A17" s="16" t="s">
        <v>158</v>
      </c>
      <c r="B17" s="39" t="s">
        <v>44</v>
      </c>
      <c r="C17" s="23">
        <f>SUM('Stavební rozpočet'!AE12:AE81)</f>
        <v>0</v>
      </c>
      <c r="D17" s="103" t="s">
        <v>158</v>
      </c>
      <c r="E17" s="104"/>
      <c r="F17" s="11" t="s">
        <v>158</v>
      </c>
      <c r="G17" s="103" t="s">
        <v>116</v>
      </c>
      <c r="H17" s="104"/>
      <c r="I17" s="11" t="s">
        <v>115</v>
      </c>
    </row>
    <row r="18" spans="1:9" ht="15" customHeight="1">
      <c r="A18" s="14" t="s">
        <v>68</v>
      </c>
      <c r="B18" s="39" t="s">
        <v>56</v>
      </c>
      <c r="C18" s="23">
        <f>SUM('Stavební rozpočet'!AF12:AF81)</f>
        <v>0</v>
      </c>
      <c r="D18" s="103" t="s">
        <v>158</v>
      </c>
      <c r="E18" s="104"/>
      <c r="F18" s="11" t="s">
        <v>158</v>
      </c>
      <c r="G18" s="103" t="s">
        <v>145</v>
      </c>
      <c r="H18" s="104"/>
      <c r="I18" s="11" t="s">
        <v>115</v>
      </c>
    </row>
    <row r="19" spans="1:9" ht="15" customHeight="1">
      <c r="A19" s="16" t="s">
        <v>158</v>
      </c>
      <c r="B19" s="39" t="s">
        <v>44</v>
      </c>
      <c r="C19" s="23">
        <f>SUM('Stavební rozpočet'!AG12:AG81)</f>
        <v>0</v>
      </c>
      <c r="D19" s="103" t="s">
        <v>158</v>
      </c>
      <c r="E19" s="104"/>
      <c r="F19" s="11" t="s">
        <v>158</v>
      </c>
      <c r="G19" s="103" t="s">
        <v>228</v>
      </c>
      <c r="H19" s="104"/>
      <c r="I19" s="11" t="s">
        <v>115</v>
      </c>
    </row>
    <row r="20" spans="1:9" ht="15" customHeight="1">
      <c r="A20" s="97" t="s">
        <v>16</v>
      </c>
      <c r="B20" s="98"/>
      <c r="C20" s="23">
        <f>SUM('Stavební rozpočet'!AH12:AH81)</f>
        <v>0</v>
      </c>
      <c r="D20" s="103" t="s">
        <v>158</v>
      </c>
      <c r="E20" s="104"/>
      <c r="F20" s="11" t="s">
        <v>158</v>
      </c>
      <c r="G20" s="103" t="s">
        <v>158</v>
      </c>
      <c r="H20" s="104"/>
      <c r="I20" s="11" t="s">
        <v>158</v>
      </c>
    </row>
    <row r="21" spans="1:9" ht="15" customHeight="1">
      <c r="A21" s="99" t="s">
        <v>227</v>
      </c>
      <c r="B21" s="100"/>
      <c r="C21" s="30">
        <f>SUM('Stavební rozpočet'!Z12:Z81)</f>
        <v>0</v>
      </c>
      <c r="D21" s="105" t="s">
        <v>158</v>
      </c>
      <c r="E21" s="106"/>
      <c r="F21" s="51" t="s">
        <v>158</v>
      </c>
      <c r="G21" s="105" t="s">
        <v>158</v>
      </c>
      <c r="H21" s="106"/>
      <c r="I21" s="51" t="s">
        <v>158</v>
      </c>
    </row>
    <row r="22" spans="1:9" ht="16.5" customHeight="1">
      <c r="A22" s="101" t="s">
        <v>47</v>
      </c>
      <c r="B22" s="102"/>
      <c r="C22" s="15">
        <f>SUM(C14:C21)</f>
        <v>0</v>
      </c>
      <c r="D22" s="107" t="s">
        <v>112</v>
      </c>
      <c r="E22" s="102"/>
      <c r="F22" s="15">
        <f>SUM(F14:F21)</f>
        <v>0</v>
      </c>
      <c r="G22" s="107" t="s">
        <v>234</v>
      </c>
      <c r="H22" s="102"/>
      <c r="I22" s="15">
        <f>SUM(I14:I21)</f>
        <v>0</v>
      </c>
    </row>
    <row r="23" spans="4:9" ht="15" customHeight="1">
      <c r="D23" s="97" t="s">
        <v>183</v>
      </c>
      <c r="E23" s="98"/>
      <c r="F23" s="10">
        <v>0</v>
      </c>
      <c r="G23" s="108" t="s">
        <v>13</v>
      </c>
      <c r="H23" s="98"/>
      <c r="I23" s="23">
        <v>0</v>
      </c>
    </row>
    <row r="24" spans="7:8" ht="15" customHeight="1">
      <c r="G24" s="97" t="s">
        <v>157</v>
      </c>
      <c r="H24" s="98"/>
    </row>
    <row r="25" spans="7:9" ht="15" customHeight="1">
      <c r="G25" s="97" t="s">
        <v>174</v>
      </c>
      <c r="H25" s="98"/>
      <c r="I25" s="15">
        <v>0</v>
      </c>
    </row>
    <row r="27" spans="1:3" ht="15" customHeight="1">
      <c r="A27" s="109" t="s">
        <v>92</v>
      </c>
      <c r="B27" s="110"/>
      <c r="C27" s="58">
        <f>SUM('Stavební rozpočet'!AJ12:AJ81)</f>
        <v>0</v>
      </c>
    </row>
    <row r="28" spans="1:9" ht="15" customHeight="1">
      <c r="A28" s="111" t="s">
        <v>5</v>
      </c>
      <c r="B28" s="112"/>
      <c r="C28" s="40">
        <f>SUM('Stavební rozpočet'!AK12:AK81)</f>
        <v>0</v>
      </c>
      <c r="D28" s="110" t="s">
        <v>49</v>
      </c>
      <c r="E28" s="110"/>
      <c r="F28" s="58">
        <f>ROUND(C28*(15/100),2)</f>
        <v>0</v>
      </c>
      <c r="G28" s="110" t="s">
        <v>36</v>
      </c>
      <c r="H28" s="110"/>
      <c r="I28" s="58">
        <f>SUM(C27:C29)</f>
        <v>0</v>
      </c>
    </row>
    <row r="29" spans="1:9" ht="15" customHeight="1">
      <c r="A29" s="111" t="s">
        <v>9</v>
      </c>
      <c r="B29" s="112"/>
      <c r="C29" s="40">
        <f>SUM('Stavební rozpočet'!AL12:AL81)+(F22+I22+F23+I23+I24+I25)</f>
        <v>0</v>
      </c>
      <c r="D29" s="112" t="s">
        <v>172</v>
      </c>
      <c r="E29" s="112"/>
      <c r="F29" s="40">
        <f>ROUND(C29*(21/100),2)</f>
        <v>0</v>
      </c>
      <c r="G29" s="112" t="s">
        <v>90</v>
      </c>
      <c r="H29" s="112"/>
      <c r="I29" s="40">
        <f>SUM(F28:F29)+I28</f>
        <v>0</v>
      </c>
    </row>
    <row r="31" spans="1:9" ht="15" customHeight="1">
      <c r="A31" s="113" t="s">
        <v>3</v>
      </c>
      <c r="B31" s="114"/>
      <c r="C31" s="115"/>
      <c r="D31" s="114" t="s">
        <v>218</v>
      </c>
      <c r="E31" s="114"/>
      <c r="F31" s="115"/>
      <c r="G31" s="114" t="s">
        <v>151</v>
      </c>
      <c r="H31" s="114"/>
      <c r="I31" s="115"/>
    </row>
    <row r="32" spans="1:9" ht="15" customHeight="1">
      <c r="A32" s="116" t="s">
        <v>158</v>
      </c>
      <c r="B32" s="105"/>
      <c r="C32" s="117"/>
      <c r="D32" s="105" t="s">
        <v>158</v>
      </c>
      <c r="E32" s="105"/>
      <c r="F32" s="117"/>
      <c r="G32" s="105" t="s">
        <v>158</v>
      </c>
      <c r="H32" s="105"/>
      <c r="I32" s="117"/>
    </row>
    <row r="33" spans="1:9" ht="15" customHeight="1">
      <c r="A33" s="116" t="s">
        <v>158</v>
      </c>
      <c r="B33" s="105"/>
      <c r="C33" s="117"/>
      <c r="D33" s="105" t="s">
        <v>158</v>
      </c>
      <c r="E33" s="105"/>
      <c r="F33" s="117"/>
      <c r="G33" s="105" t="s">
        <v>158</v>
      </c>
      <c r="H33" s="105"/>
      <c r="I33" s="117"/>
    </row>
    <row r="34" spans="1:9" ht="15" customHeight="1">
      <c r="A34" s="116" t="s">
        <v>158</v>
      </c>
      <c r="B34" s="105"/>
      <c r="C34" s="117"/>
      <c r="D34" s="105" t="s">
        <v>158</v>
      </c>
      <c r="E34" s="105"/>
      <c r="F34" s="117"/>
      <c r="G34" s="105" t="s">
        <v>158</v>
      </c>
      <c r="H34" s="105"/>
      <c r="I34" s="117"/>
    </row>
    <row r="35" spans="1:9" ht="15" customHeight="1">
      <c r="A35" s="118" t="s">
        <v>45</v>
      </c>
      <c r="B35" s="119"/>
      <c r="C35" s="120"/>
      <c r="D35" s="119" t="s">
        <v>45</v>
      </c>
      <c r="E35" s="119"/>
      <c r="F35" s="120"/>
      <c r="G35" s="119" t="s">
        <v>45</v>
      </c>
      <c r="H35" s="119"/>
      <c r="I35" s="120"/>
    </row>
    <row r="36" ht="15" customHeight="1">
      <c r="A36" s="47" t="s">
        <v>20</v>
      </c>
    </row>
    <row r="37" spans="1:9" ht="12.75" customHeight="1">
      <c r="A37" s="67" t="s">
        <v>158</v>
      </c>
      <c r="B37" s="64"/>
      <c r="C37" s="64"/>
      <c r="D37" s="64"/>
      <c r="E37" s="64"/>
      <c r="F37" s="64"/>
      <c r="G37" s="64"/>
      <c r="H37" s="64"/>
      <c r="I37" s="64"/>
    </row>
  </sheetData>
  <sheetProtection/>
  <mergeCells count="83">
    <mergeCell ref="G31:I31"/>
    <mergeCell ref="G32:I32"/>
    <mergeCell ref="G33:I33"/>
    <mergeCell ref="G34:I34"/>
    <mergeCell ref="G35:I35"/>
    <mergeCell ref="A37:I37"/>
    <mergeCell ref="A31:C31"/>
    <mergeCell ref="A32:C32"/>
    <mergeCell ref="A33:C33"/>
    <mergeCell ref="A34:C34"/>
    <mergeCell ref="A35:C35"/>
    <mergeCell ref="D31:F31"/>
    <mergeCell ref="D32:F32"/>
    <mergeCell ref="D33:F33"/>
    <mergeCell ref="D34:F34"/>
    <mergeCell ref="D35:F35"/>
    <mergeCell ref="A27:B27"/>
    <mergeCell ref="A28:B28"/>
    <mergeCell ref="A29:B29"/>
    <mergeCell ref="D28:E28"/>
    <mergeCell ref="D29:E29"/>
    <mergeCell ref="G28:H28"/>
    <mergeCell ref="G29:H29"/>
    <mergeCell ref="G20:H20"/>
    <mergeCell ref="G21:H21"/>
    <mergeCell ref="G22:H22"/>
    <mergeCell ref="G23:H23"/>
    <mergeCell ref="G24:H24"/>
    <mergeCell ref="G25:H25"/>
    <mergeCell ref="G14:H14"/>
    <mergeCell ref="G15:H15"/>
    <mergeCell ref="G16:H16"/>
    <mergeCell ref="G17:H17"/>
    <mergeCell ref="G18:H18"/>
    <mergeCell ref="G19:H19"/>
    <mergeCell ref="D18:E18"/>
    <mergeCell ref="D19:E19"/>
    <mergeCell ref="D20:E20"/>
    <mergeCell ref="D21:E21"/>
    <mergeCell ref="D22:E22"/>
    <mergeCell ref="D23:E23"/>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jiří trojan</cp:lastModifiedBy>
  <dcterms:created xsi:type="dcterms:W3CDTF">2021-06-10T20:06:38Z</dcterms:created>
  <dcterms:modified xsi:type="dcterms:W3CDTF">2022-12-19T13:28:30Z</dcterms:modified>
  <cp:category/>
  <cp:version/>
  <cp:contentType/>
  <cp:contentStatus/>
</cp:coreProperties>
</file>